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360" windowHeight="4440" tabRatio="739" activeTab="12"/>
  </bookViews>
  <sheets>
    <sheet name="10.1-10.5" sheetId="22" r:id="rId1"/>
    <sheet name="10.6.-10.9" sheetId="41" r:id="rId2"/>
    <sheet name="11.1-11.5" sheetId="24" r:id="rId3"/>
    <sheet name="12." sheetId="47" r:id="rId4"/>
    <sheet name="13.-14." sheetId="46" r:id="rId5"/>
    <sheet name="15.  " sheetId="26" r:id="rId6"/>
    <sheet name="16-17.  " sheetId="42" r:id="rId7"/>
    <sheet name="18. " sheetId="28" r:id="rId8"/>
    <sheet name="19. " sheetId="31" r:id="rId9"/>
    <sheet name="20." sheetId="32" r:id="rId10"/>
    <sheet name="21. " sheetId="43" r:id="rId11"/>
    <sheet name="22.-24." sheetId="34" r:id="rId12"/>
    <sheet name="25.1-25.3 ." sheetId="2" r:id="rId13"/>
    <sheet name="26.sz.mell. " sheetId="8" r:id="rId14"/>
    <sheet name="27. sz. mell." sheetId="35" r:id="rId15"/>
    <sheet name="28.sz" sheetId="40" r:id="rId16"/>
    <sheet name="29.sz." sheetId="39" r:id="rId17"/>
  </sheets>
  <definedNames>
    <definedName name="_xlnm._FilterDatabase" localSheetId="15" hidden="1">'28.sz'!$B$3:$B$25</definedName>
    <definedName name="_xlnm._FilterDatabase" localSheetId="16" hidden="1">'29.sz.'!$B$4:$B$59</definedName>
    <definedName name="_xlnm.Print_Titles" localSheetId="3">'12.'!$1:$6</definedName>
    <definedName name="_xlnm.Print_Titles" localSheetId="15">'28.sz'!$3:$3</definedName>
    <definedName name="_xlnm.Print_Titles" localSheetId="16">'29.sz.'!$4:$4</definedName>
    <definedName name="_xlnm.Print_Area" localSheetId="8">'19. '!$A$1:$J$37</definedName>
  </definedNames>
  <calcPr calcId="124519"/>
</workbook>
</file>

<file path=xl/calcChain.xml><?xml version="1.0" encoding="utf-8"?>
<calcChain xmlns="http://schemas.openxmlformats.org/spreadsheetml/2006/main">
  <c r="D9" i="2"/>
  <c r="I132" l="1"/>
  <c r="I133"/>
  <c r="I134"/>
  <c r="I135"/>
  <c r="I136"/>
  <c r="I137"/>
  <c r="I138"/>
  <c r="I139"/>
  <c r="I140"/>
  <c r="I141"/>
  <c r="I142"/>
  <c r="I143"/>
  <c r="H133"/>
  <c r="H134"/>
  <c r="H135"/>
  <c r="H136"/>
  <c r="H137"/>
  <c r="H138"/>
  <c r="H139"/>
  <c r="H140"/>
  <c r="H141"/>
  <c r="H142"/>
  <c r="H143"/>
  <c r="F132"/>
  <c r="F133"/>
  <c r="F134"/>
  <c r="F135"/>
  <c r="F136"/>
  <c r="F137"/>
  <c r="F138"/>
  <c r="F139"/>
  <c r="F140"/>
  <c r="F141"/>
  <c r="F142"/>
  <c r="F143"/>
  <c r="E133"/>
  <c r="E134"/>
  <c r="E135"/>
  <c r="E136"/>
  <c r="E137"/>
  <c r="E138"/>
  <c r="E139"/>
  <c r="E140"/>
  <c r="E141"/>
  <c r="E142"/>
  <c r="E143"/>
  <c r="E132"/>
  <c r="AB137" l="1"/>
  <c r="AB136"/>
  <c r="AB135"/>
  <c r="AB134"/>
  <c r="AB133"/>
  <c r="AB132"/>
  <c r="M13"/>
  <c r="M15"/>
  <c r="M16"/>
  <c r="M17"/>
  <c r="M18"/>
  <c r="M19"/>
  <c r="M20"/>
  <c r="J10"/>
  <c r="J11"/>
  <c r="J12"/>
  <c r="J13"/>
  <c r="J14"/>
  <c r="J15"/>
  <c r="J16"/>
  <c r="J17"/>
  <c r="J18"/>
  <c r="J19"/>
  <c r="J20"/>
  <c r="J9"/>
  <c r="T82"/>
  <c r="T83"/>
  <c r="T84"/>
  <c r="T85"/>
  <c r="T86"/>
  <c r="T87"/>
  <c r="T88"/>
  <c r="T89"/>
  <c r="T90"/>
  <c r="G18" s="1"/>
  <c r="T91"/>
  <c r="T92"/>
  <c r="T81"/>
  <c r="Q87"/>
  <c r="Q88"/>
  <c r="Q89"/>
  <c r="Q90"/>
  <c r="Q91"/>
  <c r="Q92"/>
  <c r="E86"/>
  <c r="E85"/>
  <c r="Q85" s="1"/>
  <c r="E84"/>
  <c r="E83"/>
  <c r="Q83" s="1"/>
  <c r="E82"/>
  <c r="E81"/>
  <c r="Q81" s="1"/>
  <c r="B93"/>
  <c r="C81"/>
  <c r="F81"/>
  <c r="R81" s="1"/>
  <c r="P81"/>
  <c r="S81"/>
  <c r="C82"/>
  <c r="O82" s="1"/>
  <c r="F82"/>
  <c r="R82" s="1"/>
  <c r="P82"/>
  <c r="S82"/>
  <c r="C83"/>
  <c r="O83" s="1"/>
  <c r="F83"/>
  <c r="P83"/>
  <c r="R83"/>
  <c r="S83"/>
  <c r="C84"/>
  <c r="F84"/>
  <c r="R84" s="1"/>
  <c r="O84"/>
  <c r="P84"/>
  <c r="S84"/>
  <c r="C85"/>
  <c r="O85" s="1"/>
  <c r="F85"/>
  <c r="R85" s="1"/>
  <c r="P85"/>
  <c r="S85"/>
  <c r="C86"/>
  <c r="O86" s="1"/>
  <c r="F86"/>
  <c r="R86" s="1"/>
  <c r="P86"/>
  <c r="S86"/>
  <c r="C87"/>
  <c r="O87" s="1"/>
  <c r="F87"/>
  <c r="R87" s="1"/>
  <c r="P87"/>
  <c r="S87"/>
  <c r="C88"/>
  <c r="O88" s="1"/>
  <c r="F88"/>
  <c r="R88" s="1"/>
  <c r="P88"/>
  <c r="S88"/>
  <c r="C89"/>
  <c r="O89" s="1"/>
  <c r="F89"/>
  <c r="R89" s="1"/>
  <c r="P89"/>
  <c r="S89"/>
  <c r="C90"/>
  <c r="O90" s="1"/>
  <c r="F90"/>
  <c r="R90" s="1"/>
  <c r="P90"/>
  <c r="S90"/>
  <c r="C91"/>
  <c r="O91" s="1"/>
  <c r="F91"/>
  <c r="R91" s="1"/>
  <c r="P91"/>
  <c r="S91"/>
  <c r="C92"/>
  <c r="O92" s="1"/>
  <c r="F92"/>
  <c r="R92" s="1"/>
  <c r="P92"/>
  <c r="S92"/>
  <c r="D93"/>
  <c r="G93"/>
  <c r="H93"/>
  <c r="G138"/>
  <c r="G139"/>
  <c r="G140"/>
  <c r="G141"/>
  <c r="G142"/>
  <c r="G143"/>
  <c r="J133"/>
  <c r="J134"/>
  <c r="J135"/>
  <c r="J136"/>
  <c r="J138"/>
  <c r="J139"/>
  <c r="J140"/>
  <c r="J141"/>
  <c r="J142"/>
  <c r="J143"/>
  <c r="V157"/>
  <c r="G137" s="1"/>
  <c r="V156"/>
  <c r="G136" s="1"/>
  <c r="V155"/>
  <c r="G135" s="1"/>
  <c r="V154"/>
  <c r="G134" s="1"/>
  <c r="V153"/>
  <c r="G133" s="1"/>
  <c r="V152"/>
  <c r="G132" s="1"/>
  <c r="J132"/>
  <c r="G19" l="1"/>
  <c r="G16"/>
  <c r="G20"/>
  <c r="G15"/>
  <c r="S93"/>
  <c r="D140"/>
  <c r="D17" s="1"/>
  <c r="G17"/>
  <c r="D14"/>
  <c r="Q86"/>
  <c r="D11"/>
  <c r="D10"/>
  <c r="Q82"/>
  <c r="P93"/>
  <c r="D13"/>
  <c r="D12"/>
  <c r="Q84"/>
  <c r="AB144"/>
  <c r="E93"/>
  <c r="C93"/>
  <c r="D141"/>
  <c r="D18" s="1"/>
  <c r="T93"/>
  <c r="F93"/>
  <c r="O81"/>
  <c r="R93"/>
  <c r="D142"/>
  <c r="D19" s="1"/>
  <c r="D138"/>
  <c r="D15" s="1"/>
  <c r="D143"/>
  <c r="D20" s="1"/>
  <c r="D139"/>
  <c r="D16" s="1"/>
  <c r="Y157"/>
  <c r="J137" s="1"/>
  <c r="K135" i="47"/>
  <c r="J135"/>
  <c r="C135"/>
  <c r="H134"/>
  <c r="G134"/>
  <c r="F134"/>
  <c r="Y133"/>
  <c r="X133"/>
  <c r="W133"/>
  <c r="V133"/>
  <c r="U133"/>
  <c r="H133"/>
  <c r="G133"/>
  <c r="F133"/>
  <c r="Y132"/>
  <c r="X132"/>
  <c r="W132"/>
  <c r="V132"/>
  <c r="U132"/>
  <c r="H132"/>
  <c r="G132"/>
  <c r="F132"/>
  <c r="Y130"/>
  <c r="X130"/>
  <c r="W130"/>
  <c r="V130"/>
  <c r="U130"/>
  <c r="H130"/>
  <c r="G130"/>
  <c r="F130"/>
  <c r="AC129"/>
  <c r="Y129"/>
  <c r="V129"/>
  <c r="U129"/>
  <c r="N129"/>
  <c r="W129" s="1"/>
  <c r="M129"/>
  <c r="AB128"/>
  <c r="AB135" s="1"/>
  <c r="Z128"/>
  <c r="L128"/>
  <c r="L135" s="1"/>
  <c r="K128"/>
  <c r="J128"/>
  <c r="I128"/>
  <c r="I135" s="1"/>
  <c r="E128"/>
  <c r="E135" s="1"/>
  <c r="D128"/>
  <c r="D135" s="1"/>
  <c r="C128"/>
  <c r="H127"/>
  <c r="G127"/>
  <c r="F127"/>
  <c r="H126"/>
  <c r="G126"/>
  <c r="F126"/>
  <c r="AA125"/>
  <c r="X125"/>
  <c r="W125"/>
  <c r="V125"/>
  <c r="Y125" s="1"/>
  <c r="U125"/>
  <c r="H125"/>
  <c r="G125"/>
  <c r="F125"/>
  <c r="Q124"/>
  <c r="P124"/>
  <c r="O124"/>
  <c r="Q123"/>
  <c r="P123"/>
  <c r="O123"/>
  <c r="Q122"/>
  <c r="P122"/>
  <c r="O122"/>
  <c r="AA121"/>
  <c r="X121"/>
  <c r="Y121" s="1"/>
  <c r="W121"/>
  <c r="V121"/>
  <c r="U121"/>
  <c r="Q121"/>
  <c r="P121"/>
  <c r="O121"/>
  <c r="AA120"/>
  <c r="Y120"/>
  <c r="X120"/>
  <c r="W120"/>
  <c r="V120"/>
  <c r="U120"/>
  <c r="H120"/>
  <c r="G120"/>
  <c r="F120"/>
  <c r="H119"/>
  <c r="G119"/>
  <c r="F119"/>
  <c r="H118"/>
  <c r="G118"/>
  <c r="F118"/>
  <c r="H117"/>
  <c r="G117"/>
  <c r="F117"/>
  <c r="H116"/>
  <c r="G116"/>
  <c r="F116"/>
  <c r="S115"/>
  <c r="P115" s="1"/>
  <c r="Q115"/>
  <c r="O115"/>
  <c r="M115"/>
  <c r="AC114"/>
  <c r="AA114"/>
  <c r="X114"/>
  <c r="Y114" s="1"/>
  <c r="W114"/>
  <c r="V114"/>
  <c r="U114"/>
  <c r="H114"/>
  <c r="G114"/>
  <c r="F114"/>
  <c r="AA113"/>
  <c r="Y113"/>
  <c r="X113"/>
  <c r="W113"/>
  <c r="V113"/>
  <c r="U113"/>
  <c r="Q113"/>
  <c r="P113"/>
  <c r="O113"/>
  <c r="AA112"/>
  <c r="X112"/>
  <c r="W112"/>
  <c r="V112"/>
  <c r="Y112" s="1"/>
  <c r="H112"/>
  <c r="G112"/>
  <c r="F112"/>
  <c r="AA111"/>
  <c r="X111"/>
  <c r="W111"/>
  <c r="V111"/>
  <c r="Y111" s="1"/>
  <c r="U111"/>
  <c r="S111"/>
  <c r="Q111"/>
  <c r="P111"/>
  <c r="O111"/>
  <c r="M111"/>
  <c r="M128" s="1"/>
  <c r="M135" s="1"/>
  <c r="H110"/>
  <c r="G110"/>
  <c r="F110"/>
  <c r="H109"/>
  <c r="G109"/>
  <c r="F109"/>
  <c r="H108"/>
  <c r="G108"/>
  <c r="F108"/>
  <c r="H107"/>
  <c r="G107"/>
  <c r="F107"/>
  <c r="H106"/>
  <c r="G106"/>
  <c r="F106"/>
  <c r="H105"/>
  <c r="G105"/>
  <c r="F105"/>
  <c r="H104"/>
  <c r="G104"/>
  <c r="F104"/>
  <c r="H103"/>
  <c r="G103"/>
  <c r="F103"/>
  <c r="H102"/>
  <c r="G102"/>
  <c r="F102"/>
  <c r="H101"/>
  <c r="G101"/>
  <c r="F101"/>
  <c r="H100"/>
  <c r="G100"/>
  <c r="F100"/>
  <c r="H99"/>
  <c r="G99"/>
  <c r="F99"/>
  <c r="H98"/>
  <c r="G98"/>
  <c r="F98"/>
  <c r="H97"/>
  <c r="G97"/>
  <c r="F97"/>
  <c r="H96"/>
  <c r="G96"/>
  <c r="F96"/>
  <c r="H95"/>
  <c r="G95"/>
  <c r="F95"/>
  <c r="H94"/>
  <c r="G94"/>
  <c r="F94"/>
  <c r="AA93"/>
  <c r="X93"/>
  <c r="Y93" s="1"/>
  <c r="W93"/>
  <c r="V93"/>
  <c r="U93"/>
  <c r="H93"/>
  <c r="G93"/>
  <c r="F93"/>
  <c r="Q92"/>
  <c r="P92"/>
  <c r="O92"/>
  <c r="Q91"/>
  <c r="P91"/>
  <c r="O91"/>
  <c r="Q90"/>
  <c r="P90"/>
  <c r="O90"/>
  <c r="Q89"/>
  <c r="P89"/>
  <c r="O89"/>
  <c r="Q88"/>
  <c r="P88"/>
  <c r="O88"/>
  <c r="Q87"/>
  <c r="P87"/>
  <c r="O87"/>
  <c r="AC86"/>
  <c r="AC128" s="1"/>
  <c r="AC135" s="1"/>
  <c r="AA86"/>
  <c r="X86"/>
  <c r="Y86" s="1"/>
  <c r="W86"/>
  <c r="V86"/>
  <c r="U86"/>
  <c r="Q86"/>
  <c r="P86"/>
  <c r="O86"/>
  <c r="H85"/>
  <c r="G85"/>
  <c r="F85"/>
  <c r="H84"/>
  <c r="G84"/>
  <c r="F84"/>
  <c r="H83"/>
  <c r="G83"/>
  <c r="F83"/>
  <c r="H82"/>
  <c r="G82"/>
  <c r="F82"/>
  <c r="H81"/>
  <c r="G81"/>
  <c r="F81"/>
  <c r="H80"/>
  <c r="G80"/>
  <c r="F80"/>
  <c r="H79"/>
  <c r="G79"/>
  <c r="F79"/>
  <c r="H78"/>
  <c r="H128" s="1"/>
  <c r="H135" s="1"/>
  <c r="G78"/>
  <c r="F78"/>
  <c r="H77"/>
  <c r="G77"/>
  <c r="G128" s="1"/>
  <c r="G135" s="1"/>
  <c r="F77"/>
  <c r="H76"/>
  <c r="G76"/>
  <c r="F76"/>
  <c r="H75"/>
  <c r="G75"/>
  <c r="F75"/>
  <c r="F128" s="1"/>
  <c r="F135" s="1"/>
  <c r="Q74"/>
  <c r="P74"/>
  <c r="O74"/>
  <c r="Q73"/>
  <c r="P73"/>
  <c r="O73"/>
  <c r="Q72"/>
  <c r="P72"/>
  <c r="O72"/>
  <c r="Q71"/>
  <c r="P71"/>
  <c r="O71"/>
  <c r="Q70"/>
  <c r="P70"/>
  <c r="O70"/>
  <c r="Q69"/>
  <c r="P69"/>
  <c r="O69"/>
  <c r="AA68"/>
  <c r="X68"/>
  <c r="Y68" s="1"/>
  <c r="W68"/>
  <c r="U68"/>
  <c r="Q68"/>
  <c r="P68"/>
  <c r="O68"/>
  <c r="P67"/>
  <c r="O67"/>
  <c r="N67"/>
  <c r="Q67" s="1"/>
  <c r="P66"/>
  <c r="O66"/>
  <c r="N66"/>
  <c r="Q66" s="1"/>
  <c r="P65"/>
  <c r="O65"/>
  <c r="N65"/>
  <c r="Q65" s="1"/>
  <c r="Q64"/>
  <c r="P64"/>
  <c r="O64"/>
  <c r="Q63"/>
  <c r="P63"/>
  <c r="O63"/>
  <c r="Q62"/>
  <c r="P62"/>
  <c r="O62"/>
  <c r="Q61"/>
  <c r="P61"/>
  <c r="O61"/>
  <c r="Q60"/>
  <c r="P60"/>
  <c r="O60"/>
  <c r="Q59"/>
  <c r="P59"/>
  <c r="O59"/>
  <c r="Q58"/>
  <c r="P58"/>
  <c r="O58"/>
  <c r="Q57"/>
  <c r="P57"/>
  <c r="O57"/>
  <c r="Q56"/>
  <c r="P56"/>
  <c r="O56"/>
  <c r="Q55"/>
  <c r="P55"/>
  <c r="O55"/>
  <c r="Q54"/>
  <c r="P54"/>
  <c r="O54"/>
  <c r="Q53"/>
  <c r="P53"/>
  <c r="O53"/>
  <c r="Q52"/>
  <c r="P52"/>
  <c r="O52"/>
  <c r="Q51"/>
  <c r="P51"/>
  <c r="O51"/>
  <c r="Q50"/>
  <c r="P50"/>
  <c r="O50"/>
  <c r="Q49"/>
  <c r="P49"/>
  <c r="O49"/>
  <c r="Q48"/>
  <c r="P48"/>
  <c r="O48"/>
  <c r="Q47"/>
  <c r="P47"/>
  <c r="O47"/>
  <c r="Q46"/>
  <c r="P46"/>
  <c r="O46"/>
  <c r="Q45"/>
  <c r="P45"/>
  <c r="O45"/>
  <c r="Q44"/>
  <c r="P44"/>
  <c r="O44"/>
  <c r="Q43"/>
  <c r="P43"/>
  <c r="O43"/>
  <c r="Q42"/>
  <c r="P42"/>
  <c r="O42"/>
  <c r="Q41"/>
  <c r="P41"/>
  <c r="O41"/>
  <c r="Q40"/>
  <c r="P40"/>
  <c r="O40"/>
  <c r="Q39"/>
  <c r="P39"/>
  <c r="O39"/>
  <c r="Q38"/>
  <c r="P38"/>
  <c r="O38"/>
  <c r="Q37"/>
  <c r="P37"/>
  <c r="O37"/>
  <c r="Q36"/>
  <c r="P36"/>
  <c r="O36"/>
  <c r="Q35"/>
  <c r="P35"/>
  <c r="O35"/>
  <c r="Q34"/>
  <c r="P34"/>
  <c r="O34"/>
  <c r="Q33"/>
  <c r="P33"/>
  <c r="O33"/>
  <c r="Q32"/>
  <c r="P32"/>
  <c r="O32"/>
  <c r="Q31"/>
  <c r="P31"/>
  <c r="O31"/>
  <c r="Q30"/>
  <c r="P30"/>
  <c r="O30"/>
  <c r="Q29"/>
  <c r="P29"/>
  <c r="O29"/>
  <c r="Q28"/>
  <c r="P28"/>
  <c r="O28"/>
  <c r="Q27"/>
  <c r="P27"/>
  <c r="O27"/>
  <c r="Q26"/>
  <c r="P26"/>
  <c r="O26"/>
  <c r="N26"/>
  <c r="Q25"/>
  <c r="P25"/>
  <c r="O25"/>
  <c r="N25"/>
  <c r="Q24"/>
  <c r="P24"/>
  <c r="O24"/>
  <c r="N24"/>
  <c r="Q23"/>
  <c r="P23"/>
  <c r="O23"/>
  <c r="N23"/>
  <c r="Q22"/>
  <c r="P22"/>
  <c r="O22"/>
  <c r="N22"/>
  <c r="Q21"/>
  <c r="P21"/>
  <c r="O21"/>
  <c r="N21"/>
  <c r="T20"/>
  <c r="N20"/>
  <c r="T19"/>
  <c r="N19"/>
  <c r="T18"/>
  <c r="N18"/>
  <c r="T17"/>
  <c r="N17"/>
  <c r="T14"/>
  <c r="X12" s="1"/>
  <c r="Y12" s="1"/>
  <c r="N14"/>
  <c r="T13"/>
  <c r="N13"/>
  <c r="AA12"/>
  <c r="AA128" s="1"/>
  <c r="V12"/>
  <c r="U12"/>
  <c r="P12"/>
  <c r="O12"/>
  <c r="N12"/>
  <c r="W12" s="1"/>
  <c r="Q11"/>
  <c r="P11"/>
  <c r="O11"/>
  <c r="Q10"/>
  <c r="P10"/>
  <c r="O10"/>
  <c r="Q9"/>
  <c r="P9"/>
  <c r="O9"/>
  <c r="Q8"/>
  <c r="P8"/>
  <c r="O8"/>
  <c r="AA7"/>
  <c r="X7"/>
  <c r="Y7" s="1"/>
  <c r="W7"/>
  <c r="W128" s="1"/>
  <c r="V7"/>
  <c r="V128" s="1"/>
  <c r="U7"/>
  <c r="U128" s="1"/>
  <c r="U135" s="1"/>
  <c r="S7"/>
  <c r="P7" s="1"/>
  <c r="P128" s="1"/>
  <c r="P135" s="1"/>
  <c r="R7"/>
  <c r="R128" s="1"/>
  <c r="R135" s="1"/>
  <c r="Q7"/>
  <c r="O7"/>
  <c r="O128" s="1"/>
  <c r="O135" s="1"/>
  <c r="Q93" i="2" l="1"/>
  <c r="O93"/>
  <c r="Y128" i="47"/>
  <c r="V135"/>
  <c r="W135"/>
  <c r="T128"/>
  <c r="T135" s="1"/>
  <c r="X128"/>
  <c r="X135" s="1"/>
  <c r="Y135" s="1"/>
  <c r="Z135" s="1"/>
  <c r="AA135" s="1"/>
  <c r="S128"/>
  <c r="S135" s="1"/>
  <c r="Q12"/>
  <c r="Q128" s="1"/>
  <c r="Q135" s="1"/>
  <c r="N128"/>
  <c r="N135" s="1"/>
  <c r="H59" i="22" l="1"/>
  <c r="AB50" i="46"/>
  <c r="Y50"/>
  <c r="X50"/>
  <c r="S39"/>
  <c r="R39"/>
  <c r="K39"/>
  <c r="J39"/>
  <c r="C39"/>
  <c r="Y38"/>
  <c r="X38"/>
  <c r="W38"/>
  <c r="V38"/>
  <c r="U38"/>
  <c r="H38"/>
  <c r="G38"/>
  <c r="F38"/>
  <c r="Z37"/>
  <c r="T37"/>
  <c r="T39" s="1"/>
  <c r="S37"/>
  <c r="R37"/>
  <c r="M37"/>
  <c r="M39" s="1"/>
  <c r="L37"/>
  <c r="L39" s="1"/>
  <c r="K37"/>
  <c r="J37"/>
  <c r="I37"/>
  <c r="I39" s="1"/>
  <c r="E37"/>
  <c r="E39" s="1"/>
  <c r="D37"/>
  <c r="D39" s="1"/>
  <c r="C37"/>
  <c r="AB36"/>
  <c r="AC36" s="1"/>
  <c r="AA36"/>
  <c r="X36"/>
  <c r="Y36" s="1"/>
  <c r="W36"/>
  <c r="V36"/>
  <c r="U36"/>
  <c r="H36"/>
  <c r="G36"/>
  <c r="F36"/>
  <c r="AB35"/>
  <c r="AC35" s="1"/>
  <c r="AA35"/>
  <c r="X35"/>
  <c r="W35"/>
  <c r="V35"/>
  <c r="Y35" s="1"/>
  <c r="U35"/>
  <c r="H35"/>
  <c r="G35"/>
  <c r="F35"/>
  <c r="AC34"/>
  <c r="AB34"/>
  <c r="AA34"/>
  <c r="Y34"/>
  <c r="X34"/>
  <c r="W34"/>
  <c r="V34"/>
  <c r="U34"/>
  <c r="H34"/>
  <c r="G34"/>
  <c r="F34"/>
  <c r="AC33"/>
  <c r="AB33"/>
  <c r="AA33"/>
  <c r="X33"/>
  <c r="Y33" s="1"/>
  <c r="W33"/>
  <c r="V33"/>
  <c r="U33"/>
  <c r="H33"/>
  <c r="G33"/>
  <c r="F33"/>
  <c r="AB32"/>
  <c r="AC32" s="1"/>
  <c r="AA32"/>
  <c r="X32"/>
  <c r="W32"/>
  <c r="V32"/>
  <c r="U32"/>
  <c r="H32"/>
  <c r="G32"/>
  <c r="F32"/>
  <c r="AB31"/>
  <c r="H31"/>
  <c r="G31"/>
  <c r="F31"/>
  <c r="AB30"/>
  <c r="H30"/>
  <c r="G30"/>
  <c r="F30"/>
  <c r="AC29"/>
  <c r="AB29"/>
  <c r="AA29"/>
  <c r="Y29"/>
  <c r="X29"/>
  <c r="W29"/>
  <c r="V29"/>
  <c r="U29"/>
  <c r="H29"/>
  <c r="G29"/>
  <c r="F29"/>
  <c r="AB28"/>
  <c r="H28"/>
  <c r="G28"/>
  <c r="F28"/>
  <c r="AB27"/>
  <c r="H27"/>
  <c r="G27"/>
  <c r="F27"/>
  <c r="AB26"/>
  <c r="H26"/>
  <c r="G26"/>
  <c r="F26"/>
  <c r="AB25"/>
  <c r="H25"/>
  <c r="G25"/>
  <c r="F25"/>
  <c r="AB24"/>
  <c r="H24"/>
  <c r="G24"/>
  <c r="F24"/>
  <c r="AB23"/>
  <c r="H23"/>
  <c r="G23"/>
  <c r="F23"/>
  <c r="AB22"/>
  <c r="H22"/>
  <c r="G22"/>
  <c r="F22"/>
  <c r="AB21"/>
  <c r="H21"/>
  <c r="G21"/>
  <c r="F21"/>
  <c r="AC20"/>
  <c r="AB20"/>
  <c r="AA20"/>
  <c r="X20"/>
  <c r="Y20" s="1"/>
  <c r="W20"/>
  <c r="V20"/>
  <c r="U20"/>
  <c r="H20"/>
  <c r="G20"/>
  <c r="F20"/>
  <c r="AB19"/>
  <c r="H19"/>
  <c r="G19"/>
  <c r="F19"/>
  <c r="AB18"/>
  <c r="H18"/>
  <c r="G18"/>
  <c r="F18"/>
  <c r="AB17"/>
  <c r="H17"/>
  <c r="G17"/>
  <c r="F17"/>
  <c r="AB16"/>
  <c r="H16"/>
  <c r="G16"/>
  <c r="F16"/>
  <c r="AB15"/>
  <c r="H15"/>
  <c r="G15"/>
  <c r="F15"/>
  <c r="AB14"/>
  <c r="H14"/>
  <c r="G14"/>
  <c r="F14"/>
  <c r="AB13"/>
  <c r="H13"/>
  <c r="H37" s="1"/>
  <c r="H39" s="1"/>
  <c r="G13"/>
  <c r="F13"/>
  <c r="AB12"/>
  <c r="AC12" s="1"/>
  <c r="AA12"/>
  <c r="X12"/>
  <c r="Y12" s="1"/>
  <c r="W12"/>
  <c r="V12"/>
  <c r="U12"/>
  <c r="H12"/>
  <c r="G12"/>
  <c r="F12"/>
  <c r="AB11"/>
  <c r="AC11" s="1"/>
  <c r="AA11"/>
  <c r="X11"/>
  <c r="W11"/>
  <c r="V11"/>
  <c r="Y11" s="1"/>
  <c r="U11"/>
  <c r="H11"/>
  <c r="G11"/>
  <c r="G37" s="1"/>
  <c r="G39" s="1"/>
  <c r="F11"/>
  <c r="F37" s="1"/>
  <c r="F39" s="1"/>
  <c r="AC10"/>
  <c r="AB10"/>
  <c r="AA10"/>
  <c r="AA37" s="1"/>
  <c r="Y10"/>
  <c r="X10"/>
  <c r="X37" s="1"/>
  <c r="V10"/>
  <c r="V37" s="1"/>
  <c r="V39" s="1"/>
  <c r="U10"/>
  <c r="U37" s="1"/>
  <c r="U39" s="1"/>
  <c r="O10"/>
  <c r="O37" s="1"/>
  <c r="O39" s="1"/>
  <c r="N10"/>
  <c r="N37" s="1"/>
  <c r="N39" s="1"/>
  <c r="M10"/>
  <c r="P10" s="1"/>
  <c r="P37" s="1"/>
  <c r="P39" s="1"/>
  <c r="AC37" l="1"/>
  <c r="AC39" s="1"/>
  <c r="X39"/>
  <c r="Y39" s="1"/>
  <c r="Y37"/>
  <c r="AB37"/>
  <c r="AB39" s="1"/>
  <c r="W10"/>
  <c r="W37" s="1"/>
  <c r="W39" s="1"/>
  <c r="Q10"/>
  <c r="Q37" s="1"/>
  <c r="Q39" s="1"/>
  <c r="J35" i="39" l="1"/>
  <c r="J32"/>
  <c r="J30"/>
  <c r="J11"/>
  <c r="D65" i="41"/>
  <c r="M72"/>
  <c r="L72"/>
  <c r="K72"/>
  <c r="C22" i="32"/>
  <c r="C30"/>
  <c r="K88" i="41"/>
  <c r="J88"/>
  <c r="E90"/>
  <c r="F90"/>
  <c r="G90"/>
  <c r="K87" l="1"/>
  <c r="K89"/>
  <c r="K86"/>
  <c r="M68"/>
  <c r="L68"/>
  <c r="K68"/>
  <c r="M69"/>
  <c r="L69"/>
  <c r="K69"/>
  <c r="I72" i="22"/>
  <c r="I79"/>
  <c r="H79"/>
  <c r="H72"/>
  <c r="G79"/>
  <c r="G72"/>
  <c r="I73"/>
  <c r="I76"/>
  <c r="I71"/>
  <c r="I70"/>
  <c r="H73"/>
  <c r="G73"/>
  <c r="H71"/>
  <c r="H80" s="1"/>
  <c r="G71"/>
  <c r="I80" l="1"/>
  <c r="D34" i="2" l="1"/>
  <c r="G38"/>
  <c r="M39"/>
  <c r="M34"/>
  <c r="M9" s="1"/>
  <c r="M36"/>
  <c r="M35"/>
  <c r="M37"/>
  <c r="AA40"/>
  <c r="AA41"/>
  <c r="AA42"/>
  <c r="AA43"/>
  <c r="AA44"/>
  <c r="AA45"/>
  <c r="X35"/>
  <c r="X36"/>
  <c r="X37"/>
  <c r="X38"/>
  <c r="X39"/>
  <c r="X40"/>
  <c r="X41"/>
  <c r="X42"/>
  <c r="X43"/>
  <c r="X44"/>
  <c r="X45"/>
  <c r="G8" i="35"/>
  <c r="X34" i="2" l="1"/>
  <c r="AA38"/>
  <c r="G13"/>
  <c r="G37"/>
  <c r="M12"/>
  <c r="G39"/>
  <c r="M14"/>
  <c r="G36"/>
  <c r="G11" s="1"/>
  <c r="M11"/>
  <c r="G35"/>
  <c r="G10" s="1"/>
  <c r="M10"/>
  <c r="AA34"/>
  <c r="G34"/>
  <c r="G9" s="1"/>
  <c r="E36" i="8"/>
  <c r="AA37" i="2" l="1"/>
  <c r="G12"/>
  <c r="AA39"/>
  <c r="G14"/>
  <c r="AA36"/>
  <c r="AA35"/>
  <c r="D9" i="43"/>
  <c r="D70" i="24"/>
  <c r="I76"/>
  <c r="G76"/>
  <c r="G77"/>
  <c r="H76"/>
  <c r="E74" i="41" l="1"/>
  <c r="G74"/>
  <c r="H74"/>
  <c r="I74"/>
  <c r="J74"/>
  <c r="C74"/>
  <c r="D74"/>
  <c r="L73"/>
  <c r="K73"/>
  <c r="M73"/>
  <c r="D33"/>
  <c r="K76" i="22"/>
  <c r="K71"/>
  <c r="J71"/>
  <c r="F73" l="1"/>
  <c r="O73" s="1"/>
  <c r="F74"/>
  <c r="O74" s="1"/>
  <c r="D59"/>
  <c r="E59"/>
  <c r="F59"/>
  <c r="E12"/>
  <c r="F12"/>
  <c r="M10"/>
  <c r="M11"/>
  <c r="M9"/>
  <c r="L10"/>
  <c r="L11"/>
  <c r="L9"/>
  <c r="K10"/>
  <c r="K11"/>
  <c r="K9"/>
  <c r="I12"/>
  <c r="J12"/>
  <c r="F18" i="35"/>
  <c r="C11" i="43"/>
  <c r="C20" s="1"/>
  <c r="D11"/>
  <c r="D20" s="1"/>
  <c r="D19"/>
  <c r="C19"/>
  <c r="F74" i="41"/>
  <c r="E19"/>
  <c r="F19"/>
  <c r="M74" i="22"/>
  <c r="N74"/>
  <c r="M75"/>
  <c r="N75"/>
  <c r="O75"/>
  <c r="M76"/>
  <c r="N76"/>
  <c r="O76"/>
  <c r="M77"/>
  <c r="N77"/>
  <c r="O77"/>
  <c r="M78"/>
  <c r="N78"/>
  <c r="O78"/>
  <c r="M79"/>
  <c r="N79"/>
  <c r="O79"/>
  <c r="N73"/>
  <c r="M71"/>
  <c r="N71"/>
  <c r="O71"/>
  <c r="M72"/>
  <c r="N72"/>
  <c r="O72"/>
  <c r="N70"/>
  <c r="O70"/>
  <c r="E57"/>
  <c r="E39"/>
  <c r="E42" s="1"/>
  <c r="E30"/>
  <c r="B9" i="43"/>
  <c r="B5"/>
  <c r="D30" i="22"/>
  <c r="U19" i="43"/>
  <c r="T19"/>
  <c r="S19"/>
  <c r="R19"/>
  <c r="Q19"/>
  <c r="P19"/>
  <c r="O19"/>
  <c r="N19"/>
  <c r="M19"/>
  <c r="L19"/>
  <c r="K19"/>
  <c r="J19"/>
  <c r="I19"/>
  <c r="H19"/>
  <c r="G19"/>
  <c r="F19"/>
  <c r="E19"/>
  <c r="B19"/>
  <c r="V18"/>
  <c r="V17"/>
  <c r="V16"/>
  <c r="V15"/>
  <c r="V14"/>
  <c r="V13"/>
  <c r="V12"/>
  <c r="U11"/>
  <c r="U20" s="1"/>
  <c r="T11"/>
  <c r="T20" s="1"/>
  <c r="S11"/>
  <c r="S20" s="1"/>
  <c r="R11"/>
  <c r="R20" s="1"/>
  <c r="Q11"/>
  <c r="Q20" s="1"/>
  <c r="P11"/>
  <c r="P20" s="1"/>
  <c r="O11"/>
  <c r="O20" s="1"/>
  <c r="N11"/>
  <c r="N20" s="1"/>
  <c r="M11"/>
  <c r="M20" s="1"/>
  <c r="L11"/>
  <c r="L20" s="1"/>
  <c r="K11"/>
  <c r="K20" s="1"/>
  <c r="J11"/>
  <c r="J20" s="1"/>
  <c r="I11"/>
  <c r="I20" s="1"/>
  <c r="H11"/>
  <c r="H20" s="1"/>
  <c r="G11"/>
  <c r="G20" s="1"/>
  <c r="F11"/>
  <c r="F20" s="1"/>
  <c r="E11"/>
  <c r="E20" s="1"/>
  <c r="V10"/>
  <c r="V8"/>
  <c r="V7"/>
  <c r="V6"/>
  <c r="L12" i="22" l="1"/>
  <c r="F23" i="43"/>
  <c r="J23"/>
  <c r="N23"/>
  <c r="R23"/>
  <c r="E23"/>
  <c r="I23"/>
  <c r="M23"/>
  <c r="Q23"/>
  <c r="U23"/>
  <c r="M12" i="22"/>
  <c r="V11" i="43"/>
  <c r="V9"/>
  <c r="C23"/>
  <c r="B11"/>
  <c r="B20" s="1"/>
  <c r="B23" s="1"/>
  <c r="H23"/>
  <c r="L23"/>
  <c r="P23"/>
  <c r="T23"/>
  <c r="G23"/>
  <c r="K23"/>
  <c r="O23"/>
  <c r="S23"/>
  <c r="V5"/>
  <c r="V20" l="1"/>
  <c r="V19"/>
  <c r="D23" l="1"/>
  <c r="J27" i="31" l="1"/>
  <c r="C37"/>
  <c r="D37"/>
  <c r="J12"/>
  <c r="J13"/>
  <c r="J14"/>
  <c r="J15"/>
  <c r="J16"/>
  <c r="J17"/>
  <c r="J18"/>
  <c r="J19"/>
  <c r="J20"/>
  <c r="J21"/>
  <c r="J22"/>
  <c r="J23"/>
  <c r="J24"/>
  <c r="J25"/>
  <c r="J26"/>
  <c r="J11"/>
  <c r="D27"/>
  <c r="D26"/>
  <c r="D25"/>
  <c r="D24"/>
  <c r="D23"/>
  <c r="D22"/>
  <c r="D21"/>
  <c r="D20"/>
  <c r="D19"/>
  <c r="D18"/>
  <c r="D17"/>
  <c r="D16"/>
  <c r="D15"/>
  <c r="D14"/>
  <c r="D13"/>
  <c r="D12"/>
  <c r="D11"/>
  <c r="Q10" i="2" l="1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R9"/>
  <c r="N10"/>
  <c r="O10"/>
  <c r="P10"/>
  <c r="X10" s="1"/>
  <c r="N11"/>
  <c r="O11"/>
  <c r="P11"/>
  <c r="X11" s="1"/>
  <c r="N12"/>
  <c r="O12"/>
  <c r="P12"/>
  <c r="X12" s="1"/>
  <c r="N13"/>
  <c r="O13"/>
  <c r="P13"/>
  <c r="X13" s="1"/>
  <c r="N14"/>
  <c r="O14"/>
  <c r="P14"/>
  <c r="X14" s="1"/>
  <c r="N15"/>
  <c r="O15"/>
  <c r="P15"/>
  <c r="X15" s="1"/>
  <c r="N16"/>
  <c r="O16"/>
  <c r="P16"/>
  <c r="X16" s="1"/>
  <c r="N17"/>
  <c r="O17"/>
  <c r="P17"/>
  <c r="X17" s="1"/>
  <c r="N18"/>
  <c r="O18"/>
  <c r="P18"/>
  <c r="X18" s="1"/>
  <c r="N19"/>
  <c r="O19"/>
  <c r="P19"/>
  <c r="X19" s="1"/>
  <c r="N20"/>
  <c r="O20"/>
  <c r="P20"/>
  <c r="X20" s="1"/>
  <c r="O9"/>
  <c r="P9"/>
  <c r="X9" s="1"/>
  <c r="K10"/>
  <c r="L10"/>
  <c r="K11"/>
  <c r="L11"/>
  <c r="K12"/>
  <c r="L12"/>
  <c r="K13"/>
  <c r="L13"/>
  <c r="K14"/>
  <c r="L14"/>
  <c r="K15"/>
  <c r="L15"/>
  <c r="K16"/>
  <c r="L16"/>
  <c r="K17"/>
  <c r="L17"/>
  <c r="K18"/>
  <c r="L18"/>
  <c r="K19"/>
  <c r="L19"/>
  <c r="K20"/>
  <c r="L20"/>
  <c r="L9"/>
  <c r="H10"/>
  <c r="I10"/>
  <c r="H11"/>
  <c r="I11"/>
  <c r="H12"/>
  <c r="I12"/>
  <c r="H13"/>
  <c r="I13"/>
  <c r="H14"/>
  <c r="I14"/>
  <c r="H15"/>
  <c r="I15"/>
  <c r="H16"/>
  <c r="I16"/>
  <c r="H17"/>
  <c r="I17"/>
  <c r="H18"/>
  <c r="I18"/>
  <c r="H19"/>
  <c r="I19"/>
  <c r="H20"/>
  <c r="I20"/>
  <c r="I9"/>
  <c r="X21" l="1"/>
  <c r="O21"/>
  <c r="L21"/>
  <c r="I21"/>
  <c r="P21"/>
  <c r="R21"/>
  <c r="F46"/>
  <c r="Z35"/>
  <c r="Z36"/>
  <c r="Z37"/>
  <c r="Z38"/>
  <c r="Z39"/>
  <c r="Z40"/>
  <c r="Z41"/>
  <c r="Z42"/>
  <c r="Z43"/>
  <c r="Z44"/>
  <c r="Z45"/>
  <c r="Z34"/>
  <c r="W35"/>
  <c r="W36"/>
  <c r="W37"/>
  <c r="W38"/>
  <c r="W39"/>
  <c r="W40"/>
  <c r="W41"/>
  <c r="W42"/>
  <c r="W43"/>
  <c r="W44"/>
  <c r="W45"/>
  <c r="W34"/>
  <c r="C10"/>
  <c r="C11"/>
  <c r="C12"/>
  <c r="C13"/>
  <c r="C15"/>
  <c r="C9"/>
  <c r="F10"/>
  <c r="F11"/>
  <c r="F12"/>
  <c r="F13"/>
  <c r="F14"/>
  <c r="F15"/>
  <c r="F16"/>
  <c r="F17"/>
  <c r="F18"/>
  <c r="F19"/>
  <c r="F9"/>
  <c r="C38" i="41"/>
  <c r="J18" i="42"/>
  <c r="H39"/>
  <c r="G39"/>
  <c r="F39"/>
  <c r="E39"/>
  <c r="D39"/>
  <c r="C39"/>
  <c r="L18"/>
  <c r="K18"/>
  <c r="I18"/>
  <c r="G18"/>
  <c r="F18"/>
  <c r="E18"/>
  <c r="C18"/>
  <c r="L15"/>
  <c r="J15"/>
  <c r="L14"/>
  <c r="J14"/>
  <c r="H14"/>
  <c r="H18" s="1"/>
  <c r="F14"/>
  <c r="D14"/>
  <c r="J13"/>
  <c r="D13"/>
  <c r="J12"/>
  <c r="D12"/>
  <c r="D18" s="1"/>
  <c r="W15" i="2" l="1"/>
  <c r="Z17"/>
  <c r="Z13"/>
  <c r="C20"/>
  <c r="Z18"/>
  <c r="Z14"/>
  <c r="Z10"/>
  <c r="C16"/>
  <c r="Z19"/>
  <c r="Z15"/>
  <c r="Z11"/>
  <c r="C17"/>
  <c r="Z9"/>
  <c r="Z16"/>
  <c r="Z12"/>
  <c r="C19"/>
  <c r="C14"/>
  <c r="F20"/>
  <c r="F21" s="1"/>
  <c r="W13"/>
  <c r="W10"/>
  <c r="W11"/>
  <c r="W12"/>
  <c r="W9"/>
  <c r="W46"/>
  <c r="W17" l="1"/>
  <c r="W16"/>
  <c r="W20"/>
  <c r="W14"/>
  <c r="C18"/>
  <c r="Z20"/>
  <c r="Z21" s="1"/>
  <c r="G21"/>
  <c r="W19"/>
  <c r="D21" l="1"/>
  <c r="C21"/>
  <c r="W18"/>
  <c r="W21" s="1"/>
  <c r="E84" i="24" l="1"/>
  <c r="F84"/>
  <c r="B84"/>
  <c r="B44"/>
  <c r="C44"/>
  <c r="I83"/>
  <c r="C84"/>
  <c r="H83"/>
  <c r="I93"/>
  <c r="H93"/>
  <c r="C94"/>
  <c r="E94"/>
  <c r="F94"/>
  <c r="B94"/>
  <c r="H92"/>
  <c r="G93"/>
  <c r="G92"/>
  <c r="H80"/>
  <c r="G80"/>
  <c r="G81"/>
  <c r="I80"/>
  <c r="I81"/>
  <c r="H81"/>
  <c r="H79"/>
  <c r="H82"/>
  <c r="I79"/>
  <c r="G79"/>
  <c r="H94" l="1"/>
  <c r="G94"/>
  <c r="J31" i="40"/>
  <c r="C31"/>
  <c r="K26"/>
  <c r="K25"/>
  <c r="C24"/>
  <c r="K31" s="1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K30" s="1"/>
  <c r="J26" i="39" l="1"/>
  <c r="C26"/>
  <c r="L25"/>
  <c r="L24"/>
  <c r="L23"/>
  <c r="L22"/>
  <c r="L21"/>
  <c r="L20"/>
  <c r="K19"/>
  <c r="C19"/>
  <c r="L18"/>
  <c r="L17"/>
  <c r="L16"/>
  <c r="L15"/>
  <c r="L14"/>
  <c r="L13"/>
  <c r="L12"/>
  <c r="L11"/>
  <c r="L10"/>
  <c r="N9"/>
  <c r="J9"/>
  <c r="C9"/>
  <c r="L7"/>
  <c r="K7"/>
  <c r="L5"/>
  <c r="K5"/>
  <c r="L3"/>
  <c r="L9" s="1"/>
  <c r="K3"/>
  <c r="K9" s="1"/>
  <c r="L27" l="1"/>
  <c r="K26"/>
  <c r="L29" s="1"/>
  <c r="C18" i="34" l="1"/>
  <c r="R46" i="2" l="1"/>
  <c r="S10"/>
  <c r="AA10" s="1"/>
  <c r="S11"/>
  <c r="AA11" s="1"/>
  <c r="S12"/>
  <c r="AA12" s="1"/>
  <c r="S13"/>
  <c r="AA13" s="1"/>
  <c r="S14"/>
  <c r="AA14" s="1"/>
  <c r="S15"/>
  <c r="AA15" s="1"/>
  <c r="S16"/>
  <c r="AA16" s="1"/>
  <c r="S17"/>
  <c r="AA17" s="1"/>
  <c r="S18"/>
  <c r="AA18" s="1"/>
  <c r="S19"/>
  <c r="AA19" s="1"/>
  <c r="S20"/>
  <c r="AA20" s="1"/>
  <c r="S9"/>
  <c r="AA9" s="1"/>
  <c r="L46"/>
  <c r="I46"/>
  <c r="C46"/>
  <c r="Z46"/>
  <c r="AA21" l="1"/>
  <c r="S21"/>
  <c r="J46"/>
  <c r="J21"/>
  <c r="M21"/>
  <c r="G46"/>
  <c r="M46"/>
  <c r="S46"/>
  <c r="D46"/>
  <c r="U164" l="1"/>
  <c r="X164"/>
  <c r="R164"/>
  <c r="O164"/>
  <c r="L164"/>
  <c r="I164"/>
  <c r="V164" l="1"/>
  <c r="Y164"/>
  <c r="S164"/>
  <c r="P164"/>
  <c r="M164"/>
  <c r="J164"/>
  <c r="F164"/>
  <c r="C164"/>
  <c r="U144"/>
  <c r="R144"/>
  <c r="O144"/>
  <c r="L144"/>
  <c r="I144"/>
  <c r="F144"/>
  <c r="C144"/>
  <c r="H66" i="24"/>
  <c r="H67"/>
  <c r="H68"/>
  <c r="H69"/>
  <c r="H70"/>
  <c r="H71"/>
  <c r="H72"/>
  <c r="H73"/>
  <c r="H74"/>
  <c r="H75"/>
  <c r="H77"/>
  <c r="H78"/>
  <c r="G67"/>
  <c r="G68"/>
  <c r="G69"/>
  <c r="G70"/>
  <c r="G71"/>
  <c r="G72"/>
  <c r="G73"/>
  <c r="G74"/>
  <c r="G75"/>
  <c r="G78"/>
  <c r="G82"/>
  <c r="G66"/>
  <c r="I67"/>
  <c r="I68"/>
  <c r="I69"/>
  <c r="I70"/>
  <c r="I71"/>
  <c r="I72"/>
  <c r="I73"/>
  <c r="I74"/>
  <c r="I75"/>
  <c r="I77"/>
  <c r="I78"/>
  <c r="I82"/>
  <c r="G84" l="1"/>
  <c r="H84"/>
  <c r="D84"/>
  <c r="I92"/>
  <c r="I94" s="1"/>
  <c r="D94"/>
  <c r="G164" i="2"/>
  <c r="D164"/>
  <c r="V144"/>
  <c r="S144"/>
  <c r="P144"/>
  <c r="M144"/>
  <c r="D144"/>
  <c r="I66" i="24"/>
  <c r="I84" s="1"/>
  <c r="D44"/>
  <c r="C30"/>
  <c r="C90" i="41"/>
  <c r="K71"/>
  <c r="M71"/>
  <c r="L71"/>
  <c r="L66"/>
  <c r="M66"/>
  <c r="M65"/>
  <c r="L65"/>
  <c r="L67"/>
  <c r="L70"/>
  <c r="K65"/>
  <c r="K67"/>
  <c r="K70"/>
  <c r="M70"/>
  <c r="B38"/>
  <c r="D55" i="34"/>
  <c r="C55"/>
  <c r="C39"/>
  <c r="M22" i="35"/>
  <c r="M21"/>
  <c r="M20"/>
  <c r="M19"/>
  <c r="M9"/>
  <c r="M11"/>
  <c r="M12"/>
  <c r="M13"/>
  <c r="M14"/>
  <c r="F23"/>
  <c r="G23"/>
  <c r="M23" s="1"/>
  <c r="F15"/>
  <c r="M10"/>
  <c r="D39" i="8"/>
  <c r="M18" i="35" l="1"/>
  <c r="G15"/>
  <c r="M15" s="1"/>
  <c r="D90" i="41"/>
  <c r="D38"/>
  <c r="E39" i="8"/>
  <c r="M8" i="35"/>
  <c r="D30" i="24"/>
  <c r="D39" i="34"/>
  <c r="D18"/>
  <c r="C18" i="24" l="1"/>
  <c r="J87" i="41"/>
  <c r="J89"/>
  <c r="I87"/>
  <c r="I88"/>
  <c r="I89"/>
  <c r="I86"/>
  <c r="J86"/>
  <c r="K63"/>
  <c r="L63"/>
  <c r="K64"/>
  <c r="L64"/>
  <c r="L62"/>
  <c r="M63"/>
  <c r="M64"/>
  <c r="M70" i="22"/>
  <c r="F42"/>
  <c r="L74" i="41" l="1"/>
  <c r="M67"/>
  <c r="J90"/>
  <c r="D18" i="24"/>
  <c r="L80" i="22"/>
  <c r="N80"/>
  <c r="K90" i="41" l="1"/>
  <c r="F30" i="22"/>
  <c r="D73"/>
  <c r="M73" l="1"/>
  <c r="J80"/>
  <c r="T10" i="2" l="1"/>
  <c r="U10"/>
  <c r="T11"/>
  <c r="U11"/>
  <c r="T12"/>
  <c r="U12"/>
  <c r="T13"/>
  <c r="U13"/>
  <c r="T14"/>
  <c r="U14"/>
  <c r="T15"/>
  <c r="U15"/>
  <c r="T16"/>
  <c r="U16"/>
  <c r="T17"/>
  <c r="U17"/>
  <c r="T18"/>
  <c r="U18"/>
  <c r="T19"/>
  <c r="U19"/>
  <c r="T20"/>
  <c r="U20"/>
  <c r="K9"/>
  <c r="N9"/>
  <c r="Q9"/>
  <c r="T9"/>
  <c r="U9"/>
  <c r="H9"/>
  <c r="H21" l="1"/>
  <c r="N21"/>
  <c r="Q21"/>
  <c r="T21"/>
  <c r="K21"/>
  <c r="U21"/>
  <c r="H132" l="1"/>
  <c r="W164"/>
  <c r="T164"/>
  <c r="H90" i="41"/>
  <c r="B90"/>
  <c r="B62"/>
  <c r="B74" s="1"/>
  <c r="D19"/>
  <c r="B19"/>
  <c r="V9" i="2" l="1"/>
  <c r="G144"/>
  <c r="Y9"/>
  <c r="J144"/>
  <c r="K62" i="41"/>
  <c r="K74" s="1"/>
  <c r="I90"/>
  <c r="V19" i="2"/>
  <c r="V17"/>
  <c r="V15"/>
  <c r="V13"/>
  <c r="V11"/>
  <c r="Y19"/>
  <c r="Y17"/>
  <c r="Y15"/>
  <c r="Y13"/>
  <c r="Y11"/>
  <c r="V20"/>
  <c r="V18"/>
  <c r="V16"/>
  <c r="V14"/>
  <c r="V12"/>
  <c r="V10"/>
  <c r="Y20"/>
  <c r="Y18"/>
  <c r="Y16"/>
  <c r="Y14"/>
  <c r="Y12"/>
  <c r="Y10"/>
  <c r="V21" l="1"/>
  <c r="Y21"/>
  <c r="M62" i="41"/>
  <c r="M74" s="1"/>
  <c r="E21" i="2"/>
  <c r="B21"/>
  <c r="G80" i="22" l="1"/>
  <c r="B144" i="2" l="1"/>
  <c r="H144"/>
  <c r="Q164"/>
  <c r="N164"/>
  <c r="K164"/>
  <c r="H164"/>
  <c r="E164"/>
  <c r="B164"/>
  <c r="T144"/>
  <c r="Q144"/>
  <c r="N144"/>
  <c r="K144"/>
  <c r="E144"/>
  <c r="Y35" l="1"/>
  <c r="Y36"/>
  <c r="Y37"/>
  <c r="Y38"/>
  <c r="Y39"/>
  <c r="Y40"/>
  <c r="Y41"/>
  <c r="Y42"/>
  <c r="Y43"/>
  <c r="Y44"/>
  <c r="Y45"/>
  <c r="Y34"/>
  <c r="V35"/>
  <c r="V36"/>
  <c r="V37"/>
  <c r="V38"/>
  <c r="V39"/>
  <c r="V40"/>
  <c r="V41"/>
  <c r="V42"/>
  <c r="V43"/>
  <c r="V44"/>
  <c r="V45"/>
  <c r="V34"/>
  <c r="B46"/>
  <c r="E46"/>
  <c r="L23" i="35"/>
  <c r="K23"/>
  <c r="J23"/>
  <c r="I23"/>
  <c r="H23"/>
  <c r="E23"/>
  <c r="L15"/>
  <c r="K15"/>
  <c r="J15"/>
  <c r="I15"/>
  <c r="H15"/>
  <c r="E15"/>
  <c r="B55" i="34"/>
  <c r="B39"/>
  <c r="B18"/>
  <c r="B22" i="32"/>
  <c r="B30" s="1"/>
  <c r="B9"/>
  <c r="I37" i="31"/>
  <c r="H37"/>
  <c r="G37"/>
  <c r="F37"/>
  <c r="E37"/>
  <c r="B37"/>
  <c r="AA46" i="2" l="1"/>
  <c r="X46"/>
  <c r="V46"/>
  <c r="Y46"/>
  <c r="J37" i="31"/>
  <c r="H46" i="2"/>
  <c r="B30" i="24" l="1"/>
  <c r="K46" i="2" l="1"/>
  <c r="N46"/>
  <c r="Q46"/>
  <c r="B18" i="24" l="1"/>
  <c r="D42" i="22"/>
  <c r="D78"/>
  <c r="D76"/>
  <c r="D74"/>
  <c r="D80" l="1"/>
  <c r="B58" i="24"/>
  <c r="C58"/>
  <c r="D58"/>
  <c r="D12" i="22"/>
  <c r="G12"/>
  <c r="H12"/>
  <c r="C39" i="8"/>
  <c r="F80" i="22" l="1"/>
  <c r="M80"/>
  <c r="K12"/>
  <c r="O80" l="1"/>
</calcChain>
</file>

<file path=xl/comments1.xml><?xml version="1.0" encoding="utf-8"?>
<comments xmlns="http://schemas.openxmlformats.org/spreadsheetml/2006/main">
  <authors>
    <author>szabok</author>
  </authors>
  <commentList>
    <comment ref="A70" authorId="0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Segítünk h. sportolhass, tanulhass</t>
        </r>
      </text>
    </comment>
  </commentList>
</comments>
</file>

<file path=xl/comments2.xml><?xml version="1.0" encoding="utf-8"?>
<comments xmlns="http://schemas.openxmlformats.org/spreadsheetml/2006/main">
  <authors>
    <author>Veresegyház Polgármesteri Hivatal</author>
    <author>szabok</author>
  </authors>
  <commentList>
    <comment ref="B9" authorId="0">
      <text>
        <r>
          <rPr>
            <b/>
            <sz val="9"/>
            <color indexed="81"/>
            <rFont val="Tahoma"/>
            <family val="2"/>
            <charset val="238"/>
          </rPr>
          <t>Veresegyház Polgármesteri Hivatal:</t>
        </r>
        <r>
          <rPr>
            <sz val="9"/>
            <color indexed="81"/>
            <rFont val="Tahoma"/>
            <family val="2"/>
            <charset val="238"/>
          </rPr>
          <t xml:space="preserve">
csökkentve a finanszírozási igénnyel (Hivatal is)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csökkentve a finanszírozással</t>
        </r>
      </text>
    </comment>
    <comment ref="D34" authorId="1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pénzkészkettel csökkentve</t>
        </r>
      </text>
    </comment>
    <comment ref="C81" authorId="0">
      <text>
        <r>
          <rPr>
            <b/>
            <sz val="9"/>
            <color indexed="81"/>
            <rFont val="Tahoma"/>
            <family val="2"/>
            <charset val="238"/>
          </rPr>
          <t>Veresegyház Polgármesteri Hivatal:</t>
        </r>
        <r>
          <rPr>
            <sz val="9"/>
            <color indexed="81"/>
            <rFont val="Tahoma"/>
            <family val="2"/>
            <charset val="238"/>
          </rPr>
          <t xml:space="preserve">
időarányosan elosztva az összes előirányzat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V152" authorId="1">
      <text>
        <r>
          <rPr>
            <b/>
            <sz val="9"/>
            <color indexed="81"/>
            <rFont val="Tahoma"/>
            <family val="2"/>
            <charset val="238"/>
          </rPr>
          <t>szabok:</t>
        </r>
        <r>
          <rPr>
            <sz val="9"/>
            <color indexed="81"/>
            <rFont val="Tahoma"/>
            <family val="2"/>
            <charset val="238"/>
          </rPr>
          <t xml:space="preserve">
csökkentve a kapott finanszírozással</t>
        </r>
      </text>
    </comment>
  </commentList>
</comments>
</file>

<file path=xl/sharedStrings.xml><?xml version="1.0" encoding="utf-8"?>
<sst xmlns="http://schemas.openxmlformats.org/spreadsheetml/2006/main" count="1334" uniqueCount="766">
  <si>
    <t>Ezer Ft-ban</t>
  </si>
  <si>
    <t xml:space="preserve">Ebből: </t>
  </si>
  <si>
    <t xml:space="preserve">Hónap 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</si>
  <si>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</si>
  <si>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</si>
  <si>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</si>
  <si>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</si>
  <si>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</si>
  <si>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</si>
  <si>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</si>
  <si>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</si>
  <si>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</si>
  <si>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</si>
  <si>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</si>
  <si>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 xml:space="preserve">December </t>
  </si>
  <si>
    <t>Összesen</t>
  </si>
  <si>
    <t xml:space="preserve">Hitel </t>
  </si>
  <si>
    <t xml:space="preserve">Felvétel </t>
  </si>
  <si>
    <t xml:space="preserve">Törlesztés </t>
  </si>
  <si>
    <t xml:space="preserve">Értékpapír </t>
  </si>
  <si>
    <t xml:space="preserve">Eladás </t>
  </si>
  <si>
    <t xml:space="preserve">Vétel </t>
  </si>
  <si>
    <t xml:space="preserve">KIMUTATÁS </t>
  </si>
  <si>
    <t xml:space="preserve">Ezer Ft-ban </t>
  </si>
  <si>
    <t xml:space="preserve">Közvetett támogatás megnevezése </t>
  </si>
  <si>
    <t>Helyi adónál biztosított kedvezmény összege</t>
  </si>
  <si>
    <t xml:space="preserve">       - építményadó</t>
  </si>
  <si>
    <t xml:space="preserve">       - telekadó</t>
  </si>
  <si>
    <t xml:space="preserve">       - vállalkozások kommunális adója</t>
  </si>
  <si>
    <t xml:space="preserve">       - magánszemélyek kommunális adója</t>
  </si>
  <si>
    <t xml:space="preserve">       - idegenforgalmi adó tartózkodás után </t>
  </si>
  <si>
    <t xml:space="preserve">       - idegenforgalmi adó épületek után </t>
  </si>
  <si>
    <t xml:space="preserve">       - iparűzési adó állandó jelleggel végzett iparűzési tevékenység után </t>
  </si>
  <si>
    <t>Helyi adónál biztosított mentesség összege</t>
  </si>
  <si>
    <t>Egyéb nyújtott kedvezmény vagy kölcsön elengedésének összege</t>
  </si>
  <si>
    <t>Gépjárműadónál biztosított mentesség összege</t>
  </si>
  <si>
    <t xml:space="preserve">ÖSSZESEN </t>
  </si>
  <si>
    <t>Gépjárműadónál biztosított kedvezmény összege</t>
  </si>
  <si>
    <t xml:space="preserve">       - iparűzési adó ideiglenes jelleggel végzett iparűzési tevék. után </t>
  </si>
  <si>
    <t xml:space="preserve">a közvetett támogatások tervezett összegéről </t>
  </si>
  <si>
    <t>Helyiségek, eszközök hasznosításából származó kedvezmény összege</t>
  </si>
  <si>
    <t>Helyiségek, eszközök hasznosításából származó mentesség összege</t>
  </si>
  <si>
    <t xml:space="preserve">Szöveges indokolás: </t>
  </si>
  <si>
    <t xml:space="preserve">Összesen </t>
  </si>
  <si>
    <t xml:space="preserve">Ellátottak térítési díjának, kártérítésének méltányossági alapon történő elengedésének összege  </t>
  </si>
  <si>
    <t xml:space="preserve">Lakosság részére lakásépítéshez, lakásfelújításhoz nyújtott kölcsönök elengedésének összege </t>
  </si>
  <si>
    <t>Több éves kihatással járó döntések</t>
  </si>
  <si>
    <t xml:space="preserve">  számszerűsítése</t>
  </si>
  <si>
    <t xml:space="preserve">                </t>
  </si>
  <si>
    <t xml:space="preserve">     Ezer Ft-ban</t>
  </si>
  <si>
    <t>Hitel törlesztés</t>
  </si>
  <si>
    <t>Kötvénybeváltás kiadásai</t>
  </si>
  <si>
    <t>………..…………… beruházás</t>
  </si>
  <si>
    <t xml:space="preserve">Megnevezés </t>
  </si>
  <si>
    <t xml:space="preserve">2017. év után </t>
  </si>
  <si>
    <t>2014. év</t>
  </si>
  <si>
    <t xml:space="preserve">2015. év </t>
  </si>
  <si>
    <t>2016. év</t>
  </si>
  <si>
    <t>2017. év</t>
  </si>
  <si>
    <t xml:space="preserve">………..…………… felújítás </t>
  </si>
  <si>
    <t>……. pénzügyi lízingből eredő kötelezettség</t>
  </si>
  <si>
    <t>Kibocsátás</t>
  </si>
  <si>
    <t xml:space="preserve">Beváltás </t>
  </si>
  <si>
    <t xml:space="preserve">EU-s projekt címe: </t>
  </si>
  <si>
    <t xml:space="preserve">Projekt azonosítója: </t>
  </si>
  <si>
    <t xml:space="preserve">Bevételek </t>
  </si>
  <si>
    <t>Saját erőből központi támogatás</t>
  </si>
  <si>
    <t xml:space="preserve">Társfinanszírozás </t>
  </si>
  <si>
    <t xml:space="preserve">Egyéb forrás </t>
  </si>
  <si>
    <t xml:space="preserve">Bevételek összesen </t>
  </si>
  <si>
    <t xml:space="preserve">Kiadások </t>
  </si>
  <si>
    <t xml:space="preserve">Kadások összesen </t>
  </si>
  <si>
    <t>Európai Uniós forrásból finanszírozott támogatással megvalósuló programok, projektek bevételei, kiadásai</t>
  </si>
  <si>
    <t>KIMUTATÁS</t>
  </si>
  <si>
    <t xml:space="preserve">II. Adósságot keletkeztető más ügyletek </t>
  </si>
  <si>
    <t xml:space="preserve">Összeg </t>
  </si>
  <si>
    <t>1.</t>
  </si>
  <si>
    <t>2.</t>
  </si>
  <si>
    <t>3.</t>
  </si>
  <si>
    <t>Adósságot keletkeztető ügylet megnevezése</t>
  </si>
  <si>
    <t>ezer Ft</t>
  </si>
  <si>
    <t xml:space="preserve">Helyi adóból származó bevétel </t>
  </si>
  <si>
    <t xml:space="preserve">Az önkormányzati vagyon és az önkormányzatot megillető vagyoni értékű jog értékesítéséből és hasznosításából származó bevétel </t>
  </si>
  <si>
    <t xml:space="preserve">Osztalék, koncessziós díj és hozambevétel </t>
  </si>
  <si>
    <t xml:space="preserve">Tárgyieszköz értékesítéséből származó bevétel </t>
  </si>
  <si>
    <t xml:space="preserve">Immateriális jószág értékesítéséből származó bevétel </t>
  </si>
  <si>
    <t xml:space="preserve">Részvény értékesítéséből származó bevétel </t>
  </si>
  <si>
    <t xml:space="preserve">Részesedés értékesítéséből származó bevétel </t>
  </si>
  <si>
    <t xml:space="preserve">Vállalat értékesítéséből vagy privatizációból származó bevétel </t>
  </si>
  <si>
    <t>Bírság-, pótlék- és díjbevétel</t>
  </si>
  <si>
    <t>Kezeséggel kapcsolatos megtérülés</t>
  </si>
  <si>
    <t>Saját bevétel megnevezése *</t>
  </si>
  <si>
    <t>Saját bevétel összesen</t>
  </si>
  <si>
    <t xml:space="preserve">Hitel felvételéből eredő aktuális tőketartozás </t>
  </si>
  <si>
    <t xml:space="preserve">Kölcsön felvételéből eredő aktuális tőketartozás </t>
  </si>
  <si>
    <t xml:space="preserve">Hitel átvállalásából eredő aktuális tőketartozás </t>
  </si>
  <si>
    <t xml:space="preserve">Kölcsön átvállalásából eredő aktuális tőketartozás </t>
  </si>
  <si>
    <t>A számvitlei törvény (SZt.) szerinti hitelviszonyt megtestesítő értékpapír forgalomba hozatal napjától a beváltás napjáig, kamatozó értékpapír esetén annak névértéke</t>
  </si>
  <si>
    <t>Egyéb értékpapír vételára</t>
  </si>
  <si>
    <t xml:space="preserve">Váltó kibocsátása a kibocsátás napjától a beváltás napjáig és a váltóval kiváltott kötelezettségell megegyező, kamatot nem tartalmazó értéke </t>
  </si>
  <si>
    <t xml:space="preserve">A Szt. szerinti pénzügyi lízing lízingbevevői félként történő megkötése a lízing futamideje alatt és a lizingszerződésben kikötött tőkerész hátralévő összege. </t>
  </si>
  <si>
    <t xml:space="preserve">A visszavásárlási kötelezettség kikötésével megkötött adásvételi szerződés eladói félként történő megkötése - ideértve a Szt. szerinti valódi penziós és óvadéki repóügyleteket is - a visszavásárlásig, és a kikötöttvisszavásárlási ár </t>
  </si>
  <si>
    <t>Szerződésben kapott, legalább háromszázhatvanöt nap időtartamú halasztott fizetés, részletfizetés, és a még ki nem fizetett ellenérték</t>
  </si>
  <si>
    <t>Külföldi hitelintézetek által, származékos műveletek különbözeteként az Államadósság Kezelő Központ Zrt.-nél elhelyezett fedezeti betétek, és azok összege</t>
  </si>
  <si>
    <t xml:space="preserve">** Magyarország gazdasági stabilitásáról szóló 2011. évi CXCIV törvény 3. §  (1) bekezdése alapján </t>
  </si>
  <si>
    <t xml:space="preserve">Adósságot keletkeztető ügyletekből eredő fizetési kötelezettség  összesen </t>
  </si>
  <si>
    <t xml:space="preserve">* Az adósságot keletkeztető ügyletekhez történő hozzájárulás részletes szabályairól szóló 353/2011. (XII.30.) Korm. rendelet 2. § alapján </t>
  </si>
  <si>
    <t xml:space="preserve">a saját bevételek összegéről </t>
  </si>
  <si>
    <t>Összeg</t>
  </si>
  <si>
    <t xml:space="preserve">ezer Ft </t>
  </si>
  <si>
    <t xml:space="preserve">Kezességvállalás megnevezése </t>
  </si>
  <si>
    <t>I. Fejlesztési cél, amelyek megvalósításához adósságot keletkeztető ügylet megkötése válik, vagy válhat szükségessé</t>
  </si>
  <si>
    <t>Ügylet várható értéke</t>
  </si>
  <si>
    <t xml:space="preserve">2014. év </t>
  </si>
  <si>
    <t>2015. év</t>
  </si>
  <si>
    <t xml:space="preserve">2016. év </t>
  </si>
  <si>
    <t>2024. év</t>
  </si>
  <si>
    <t>2018. év</t>
  </si>
  <si>
    <t>2019. év</t>
  </si>
  <si>
    <t>2020. év</t>
  </si>
  <si>
    <t>2021. év</t>
  </si>
  <si>
    <t>2022. év</t>
  </si>
  <si>
    <t>2023. év</t>
  </si>
  <si>
    <t>2025. év</t>
  </si>
  <si>
    <t>2026. év</t>
  </si>
  <si>
    <t>Megnevezés</t>
  </si>
  <si>
    <t xml:space="preserve">Helyi adók </t>
  </si>
  <si>
    <t xml:space="preserve">Önkorm.-i vagyon, vagyoni értékű jog értékesít. bevét. </t>
  </si>
  <si>
    <t>Osztalék, koncssziós díj, hozambevétel</t>
  </si>
  <si>
    <t>Kezességvállalással kapcsolatos megtérülés</t>
  </si>
  <si>
    <t>Saját bevételek összesen</t>
  </si>
  <si>
    <t>Felvett, átvállalt hitel, kölcsön aktuális tőketartozása</t>
  </si>
  <si>
    <t>Hitelviszonyt megtestesítő értékpapír</t>
  </si>
  <si>
    <t xml:space="preserve">Adott váltó (kamat nélkül) </t>
  </si>
  <si>
    <t>Pénzügyi lízing tőkerész hátralévő összege</t>
  </si>
  <si>
    <t xml:space="preserve">Legalább 365 nap időtartamú halasztott fizetés, részletfizetés még ki nem fizett ellenértéke </t>
  </si>
  <si>
    <t xml:space="preserve">Fizetési kötelezettség összesen </t>
  </si>
  <si>
    <t xml:space="preserve">Kezességvállalásból eredő fizetési kötelezettség </t>
  </si>
  <si>
    <t xml:space="preserve">Tárgyi eszköz, immateriális jószág, részvény, részesedés értékesítéséből származó bevétel </t>
  </si>
  <si>
    <t xml:space="preserve">Az önkormányzat saját bevételeinek és az adósságot keletkeztető ügyleteiből eredő fizetési kötelezettségének bemutatása*  </t>
  </si>
  <si>
    <t xml:space="preserve">* Az államháztartásról szóló 2011. évi CXCV. törvény 23. § (2) bekezdés g) pontja alapján </t>
  </si>
  <si>
    <t>Visszavásárlási kötelezettség kikötésével megkötött adásvételi szerződés</t>
  </si>
  <si>
    <t>azon fejlesztési célokról, amelyek megvalósításához a Magyarország gazdasági stabilitásáról szóló 2011. évi CXCIV. törvény 3. § (1) szerinti adósságot keletkeztető ügylet megkötése válik vagy válhat szükségessé, az adósságot keletkeztető ügyletek várható összegével együtt</t>
  </si>
  <si>
    <t xml:space="preserve">   2013. évi  ELŐIRÁNYZAT-FELHASZNÁLÁSI TERV</t>
  </si>
  <si>
    <t xml:space="preserve">Folyószámla hitel </t>
  </si>
  <si>
    <t xml:space="preserve">Hitel/Kötvény </t>
  </si>
  <si>
    <t>2027. év</t>
  </si>
  <si>
    <t xml:space="preserve">3. Átengedett egyéb központi adók </t>
  </si>
  <si>
    <t xml:space="preserve">2. Termőföld bérbeadásából származó jöv.adó </t>
  </si>
  <si>
    <t xml:space="preserve">1. Gépjárműadó </t>
  </si>
  <si>
    <t xml:space="preserve">Önkormányzat </t>
  </si>
  <si>
    <t xml:space="preserve">  BEVÉTELEK JOGCÍMEI</t>
  </si>
  <si>
    <t>8. Iparűzési adó ideiglenes jelleggel végzett iparűzési tevékenység után (napi átalány)</t>
  </si>
  <si>
    <t xml:space="preserve">7. Iparűzési adó állandó jelleggel végzett iparűzési tevékenység után </t>
  </si>
  <si>
    <t xml:space="preserve">6. Idegenforgalmi adó épület után </t>
  </si>
  <si>
    <t>5. Idegenforgalmi adó tartózkodás után</t>
  </si>
  <si>
    <t>4. Magánszemélyek kommunális adója</t>
  </si>
  <si>
    <t xml:space="preserve">3. Vállalkozók kommunális adója </t>
  </si>
  <si>
    <t>2. Telekadó</t>
  </si>
  <si>
    <t xml:space="preserve">1. Építményadó </t>
  </si>
  <si>
    <t>xxxxxxxxxx</t>
  </si>
  <si>
    <t xml:space="preserve">3. Egyéb bevételek </t>
  </si>
  <si>
    <t xml:space="preserve">2. Szolgáltatások ellenértékének bevétele </t>
  </si>
  <si>
    <t>1. Áru- és készletértékesítés bevétele</t>
  </si>
  <si>
    <t>Mindösszesen</t>
  </si>
  <si>
    <t xml:space="preserve">Kv.-i szervek összesen </t>
  </si>
  <si>
    <t xml:space="preserve"> </t>
  </si>
  <si>
    <t xml:space="preserve">I/1. Közhatalmi bevételek összesen </t>
  </si>
  <si>
    <t xml:space="preserve">3. Bírságból származó bevétel </t>
  </si>
  <si>
    <t xml:space="preserve">2. Felügyeleti jellegű tevékenység díjbevétele </t>
  </si>
  <si>
    <t xml:space="preserve">I/1. Közhatalmi bevételek részletezése </t>
  </si>
  <si>
    <t xml:space="preserve">VII. Államházt.-on kívülről átvett pénzeszk. össz. </t>
  </si>
  <si>
    <t>Átvett működési célú pénzeszköz háztartásoktól (Medveotthon perselypénz)</t>
  </si>
  <si>
    <t>ÁH-on kívülről műk. Célú pénzeszk. Átvétel nonprofit szervtől</t>
  </si>
  <si>
    <t>Önkormányzat</t>
  </si>
  <si>
    <t xml:space="preserve">BEVÉTELEK JOGCÍMEI </t>
  </si>
  <si>
    <t xml:space="preserve">VII. Államháztartáson kívülről átvett pénzeszközök </t>
  </si>
  <si>
    <t>VI. Egyéb kv.-i támog. Államh.-on belülről össz.</t>
  </si>
  <si>
    <t>Működési célú támogatási bev. Központi ktv-i szervtől (Munkahelyi életmód, Művház. Tám.)</t>
  </si>
  <si>
    <t>Működési célú támogatási bev. Központi ktv-i szervtől (pályázati támogatás drogmegelőlegezéshez)</t>
  </si>
  <si>
    <t>Működési célú támogatás ért. Bev. TB alaptól</t>
  </si>
  <si>
    <t xml:space="preserve">VI. Egyéb költségvetési támogatás államháztartáson belülről </t>
  </si>
  <si>
    <t xml:space="preserve">IV. Központosított előirányzatok összesen </t>
  </si>
  <si>
    <t>Lakott külterülettel kapcsolatos feladatok</t>
  </si>
  <si>
    <t>Üdülőhelyi feladatok</t>
  </si>
  <si>
    <t xml:space="preserve">IV. Központosított előirányzatok </t>
  </si>
  <si>
    <t xml:space="preserve">Mindösszesen </t>
  </si>
  <si>
    <t>Támogatott megnevezése</t>
  </si>
  <si>
    <t>Drago Skorpiók Sportegyesület</t>
  </si>
  <si>
    <t>Március 15-i,október 23-i városi futóverseny</t>
  </si>
  <si>
    <t>Bursa</t>
  </si>
  <si>
    <t>Rendőrségi Alapítvány</t>
  </si>
  <si>
    <t>Városi Sportkör</t>
  </si>
  <si>
    <t xml:space="preserve">Veresegyházi Polgárőr Egyesület </t>
  </si>
  <si>
    <t>Oktatási Bizottság kerete</t>
  </si>
  <si>
    <t>Beruházási célú pénzeszköz átadás kv. Szervnek (Csatornatársulás részére fejlesztési hányad)</t>
  </si>
  <si>
    <t>Bölcsőde</t>
  </si>
  <si>
    <t>4. Intézményi egyéb sajátos bevételek</t>
  </si>
  <si>
    <t>5. ÁH. Belülre/kívülre továbbszámlázott belf. Szolg. Működési</t>
  </si>
  <si>
    <t>6. Működési kiadásokhoz kapcsolódó áfa visszatérítés</t>
  </si>
  <si>
    <t>7. Kiszámlázott term. És szolg. Áfa bevétele</t>
  </si>
  <si>
    <t>8. Értékesített tárgyieszköz áfa bevétele</t>
  </si>
  <si>
    <t>9. Fordított áfa technikai számla</t>
  </si>
  <si>
    <t>GAMESZ</t>
  </si>
  <si>
    <t>Polgármesteri Hivatal</t>
  </si>
  <si>
    <t>Óvoda</t>
  </si>
  <si>
    <t>Könyvtár</t>
  </si>
  <si>
    <t>Művelődési Ház</t>
  </si>
  <si>
    <t>Időskorúak Ápoló Otthona</t>
  </si>
  <si>
    <t>Támogatás értékű kiadás többcélú kistérségi társulásnak</t>
  </si>
  <si>
    <t>Működési célú pe. Átadás egyéb vállalkozásnak(RA-LA-MED KOVILO iskolaegészségügyre átadott pénz egészségpénztárból)</t>
  </si>
  <si>
    <t>V.2. Működési célú pénzeszköz átad. államháztartáson kívülre</t>
  </si>
  <si>
    <t xml:space="preserve">III.1. FELHALMOZÁSI Költségvetési támogatás államháztartáson belülre </t>
  </si>
  <si>
    <t>III.2. Felhalmozási célú pénzeszköz átad. államháztartáson kívülre</t>
  </si>
  <si>
    <t>Veresegyház Városi Önkormányzat</t>
  </si>
  <si>
    <t>Hulladékszállítási díj méltányossági alapon</t>
  </si>
  <si>
    <t xml:space="preserve"> - Az 1991. évi LXXXII. Tv. 8. § alapján a környezetvédelmi berendezésekre adható kedvezmény.</t>
  </si>
  <si>
    <t>Kedvezményesen bérbeadott helyiség</t>
  </si>
  <si>
    <t>Térítésmentesen bérbeadott, használatba adott helyiségek, közterületek</t>
  </si>
  <si>
    <t xml:space="preserve"> - Az 1991. évi LXXXII. Tv. 5. § (a) pontja alapján költségvetési szerv mentessége </t>
  </si>
  <si>
    <t xml:space="preserve">                                            (f) pontja alapján a mozgáskorlátozottakat megillető mentesség.</t>
  </si>
  <si>
    <t xml:space="preserve">                                     2. § (4) bekezdése alapján mentes bejelentési kötelezettség</t>
  </si>
  <si>
    <t xml:space="preserve">                                     4. § (4) bekezdése alapján mentes lopás miatt rendőrségi igazolás</t>
  </si>
  <si>
    <t>Az 1990. évi C. Tv 3. § (2) bekezdése alapján Társ. Szerv. Alapítvány, ha társasági adófizetése nincs</t>
  </si>
  <si>
    <t>Összesen:</t>
  </si>
  <si>
    <t>Szennyvízátemelő rekonstrukciós munkák</t>
  </si>
  <si>
    <t>Bruttó</t>
  </si>
  <si>
    <t>Áfa</t>
  </si>
  <si>
    <t>Nettó</t>
  </si>
  <si>
    <t>ÖNKÉNT VÁLLALT</t>
  </si>
  <si>
    <t>KÖTELEZŐ</t>
  </si>
  <si>
    <t>Eredeti előirányzat</t>
  </si>
  <si>
    <t>Szakfeladat</t>
  </si>
  <si>
    <t>Bölcsöde bővítés III.ütem</t>
  </si>
  <si>
    <t>889-101-1</t>
  </si>
  <si>
    <t>Villanyhálózat építés</t>
  </si>
  <si>
    <t>841-402-1</t>
  </si>
  <si>
    <t>841-191-1</t>
  </si>
  <si>
    <t>Szent István téri lakások tűzhely, konyhabútor</t>
  </si>
  <si>
    <t>Szent István tér lakások burkolás és villany átvezetés</t>
  </si>
  <si>
    <t>Novusz Immo 2012 adás vételi szerződés</t>
  </si>
  <si>
    <t>Épület vásárlás: Privát - Termál Kft.</t>
  </si>
  <si>
    <t>Egyéb telek</t>
  </si>
  <si>
    <t>Telek vásárlás (Bak és vidéke)</t>
  </si>
  <si>
    <t>Vásárolt földterület értéke</t>
  </si>
  <si>
    <t>841-154-1</t>
  </si>
  <si>
    <t>Képzőművészeti alkotások</t>
  </si>
  <si>
    <t>Egyéb gépek, berendezések, felszerelések</t>
  </si>
  <si>
    <t>Ügyv. Számtech. Eszközök</t>
  </si>
  <si>
    <t>Szellemi termékek vásárlása</t>
  </si>
  <si>
    <t>841-112-1</t>
  </si>
  <si>
    <t>Geotermikus energia termálút egyéb költsége</t>
  </si>
  <si>
    <t xml:space="preserve">Város egyéb bekötések csapadék csatorna </t>
  </si>
  <si>
    <t>Blogék Ráday u. csapadék csatorna építés 2013. szerz.</t>
  </si>
  <si>
    <t>Blogék Ráday u. csapadék csatorna építés 2012 szerz.</t>
  </si>
  <si>
    <t>Monovia Kodály u. csapadék csatorna építés</t>
  </si>
  <si>
    <t>422-100-1</t>
  </si>
  <si>
    <t>egyéb tervek</t>
  </si>
  <si>
    <t>SKS Terv: 28 utca tervezése</t>
  </si>
  <si>
    <t xml:space="preserve">SKS Terv: körforgalmi csomópont Bp-i út -Könyves K. út </t>
  </si>
  <si>
    <t>Körforgalom: TSZ tanyánál, Könyves Kálmán u.-nál</t>
  </si>
  <si>
    <t>Egyéb utcák (Fenyves)</t>
  </si>
  <si>
    <t>Egyéb út építése MONOVIA</t>
  </si>
  <si>
    <t>Penta: Dévér utca aszfaltozás</t>
  </si>
  <si>
    <t>Dobos és Ivácson 2000 kft: Fő téri buszmegálló kivitelezés</t>
  </si>
  <si>
    <t>Bunder-Mócsány: forgalomlassító bukkanó építés Wesselényi u.</t>
  </si>
  <si>
    <t>Prototyp Zúzottkő</t>
  </si>
  <si>
    <t>Monovia: Zrínyi u. útépítés</t>
  </si>
  <si>
    <t>Blogék Kft: Ráday u. járda</t>
  </si>
  <si>
    <t>Blogék Kft: Ráday u. útalap</t>
  </si>
  <si>
    <t>Monovia: Kodály Z. u. útépítés</t>
  </si>
  <si>
    <t>Monovia: Dobó u. útépítés</t>
  </si>
  <si>
    <t>412-000-1</t>
  </si>
  <si>
    <t>370-000-1</t>
  </si>
  <si>
    <t>Céltartalék  összesen</t>
  </si>
  <si>
    <t xml:space="preserve">            Ezer Ft-ban</t>
  </si>
  <si>
    <t xml:space="preserve">Céltartalék célonkénti részletezése </t>
  </si>
  <si>
    <t xml:space="preserve">8 órás </t>
  </si>
  <si>
    <t xml:space="preserve">6 órás </t>
  </si>
  <si>
    <t xml:space="preserve">4 órás </t>
  </si>
  <si>
    <t xml:space="preserve">Engedélyezett létszám (fő) </t>
  </si>
  <si>
    <t>Költségvetési szerv</t>
  </si>
  <si>
    <t xml:space="preserve"> költségvetési szerv vezetője </t>
  </si>
  <si>
    <t>..........................................</t>
  </si>
  <si>
    <t xml:space="preserve">........................ 2013. ............ hó .... nap </t>
  </si>
  <si>
    <t>meghatározott határnapon túli tartozásállomány.</t>
  </si>
  <si>
    <t xml:space="preserve">(x) Az önkormányzat költségvetési rendeletének ....... §-ában </t>
  </si>
  <si>
    <t>Egyéb tartozásállomány</t>
  </si>
  <si>
    <t xml:space="preserve">Szállítókkal szembeni tartozásállomány </t>
  </si>
  <si>
    <t>és intézményeik felé</t>
  </si>
  <si>
    <t xml:space="preserve">Tartozásállomány önkormányzatok </t>
  </si>
  <si>
    <t>TB alapokkal szembeni tartozás</t>
  </si>
  <si>
    <t xml:space="preserve">szembeni tartozás </t>
  </si>
  <si>
    <t xml:space="preserve">Elkülönített állami pénzalapokkal </t>
  </si>
  <si>
    <t>szemben fennálló tartozás</t>
  </si>
  <si>
    <t>Központi költségvetési szervekkel</t>
  </si>
  <si>
    <t xml:space="preserve">Állammal szembeni tartozások </t>
  </si>
  <si>
    <t>(x)</t>
  </si>
  <si>
    <t xml:space="preserve">tartozásállomány </t>
  </si>
  <si>
    <t>Tartozásállomány megnevezése</t>
  </si>
  <si>
    <t>........ napon túli</t>
  </si>
  <si>
    <t>sorsz.</t>
  </si>
  <si>
    <t xml:space="preserve">(%= az önkormányzat költségvetési rendeletében meghatározott mérték)  </t>
  </si>
  <si>
    <t>Eredeti éves költségvetés kiadási előirányzat ....... %-a:    ......................... eFt</t>
  </si>
  <si>
    <t>Eredeti éves költségvetés kiadási előirányzata:                 ......................... eFt</t>
  </si>
  <si>
    <t>Költségvetési szerv neve: ........................................</t>
  </si>
  <si>
    <t>2013. ......................... hó</t>
  </si>
  <si>
    <t xml:space="preserve">  költségvetési szerv által elismert tartozásállományról </t>
  </si>
  <si>
    <t>Adatszolgáltatás az önkormányzat felügyelete alá tartozó</t>
  </si>
  <si>
    <t>B.III. Irányítás alá tartozó költségvetési szervek működési támogatása</t>
  </si>
  <si>
    <t>E.III. Irányítás alá tartozó költségvetési szervek felhalmozási támogatása</t>
  </si>
  <si>
    <t>Foglakoztatást segítő támogatás vállalkozásoknak</t>
  </si>
  <si>
    <t>10.3. sz. melléklet</t>
  </si>
  <si>
    <t>11.1. sz. melléklet</t>
  </si>
  <si>
    <t>11.2. sz. melléklet</t>
  </si>
  <si>
    <t>11.3. sz. melléklet</t>
  </si>
  <si>
    <t>11.4. sz. melléklet</t>
  </si>
  <si>
    <t>11.5. sz. melléklet</t>
  </si>
  <si>
    <t>14. sz. melléklet</t>
  </si>
  <si>
    <t xml:space="preserve">21. számú melléklet </t>
  </si>
  <si>
    <t>Termálfürdő építés terve</t>
  </si>
  <si>
    <t>Műv. Ház felújítás terve</t>
  </si>
  <si>
    <t xml:space="preserve">Pénzügyi befektetések előirányzatának részletezése </t>
  </si>
  <si>
    <t xml:space="preserve">       Ezer Ft-ban</t>
  </si>
  <si>
    <t>Szociális épületek szennyvíz telepen</t>
  </si>
  <si>
    <t>15. sz. melléklet</t>
  </si>
  <si>
    <t>Költségvetési Intézmények</t>
  </si>
  <si>
    <t xml:space="preserve">24. sz. melléklet </t>
  </si>
  <si>
    <t>Költségvetési Intézmények összesen</t>
  </si>
  <si>
    <t>KÉZ A KÉZBEN ÓVODA</t>
  </si>
  <si>
    <t>MESELIGET BÖLCSŐDE</t>
  </si>
  <si>
    <t>KÖLCSEY FERENC VÁROSI KÖNYVTÁR</t>
  </si>
  <si>
    <t>VÁCI MIHÁLY MŰVELŐDÉSI HÁZ</t>
  </si>
  <si>
    <t xml:space="preserve">19.sz. melléklet </t>
  </si>
  <si>
    <t>kamattal együtt</t>
  </si>
  <si>
    <t xml:space="preserve">UNICREDIT 245.447 eFt fejlesztési </t>
  </si>
  <si>
    <t>Takarék 199 mil</t>
  </si>
  <si>
    <t>TRAVILL  880 mil</t>
  </si>
  <si>
    <t>TRAVILL  300 mil</t>
  </si>
  <si>
    <t>TRAVILL 100mil</t>
  </si>
  <si>
    <t>Takarék 130 mil</t>
  </si>
  <si>
    <t>Kéri József</t>
  </si>
  <si>
    <t>Kvaka Ferenc</t>
  </si>
  <si>
    <t>Misszió Health</t>
  </si>
  <si>
    <t>OTP folyószámla (kamat)</t>
  </si>
  <si>
    <t>K&amp;H kötvény 2028 I.</t>
  </si>
  <si>
    <t>Volksbank kötvény 2028 II.</t>
  </si>
  <si>
    <t>OTP kötvény   2028 III.</t>
  </si>
  <si>
    <t>Új fejlesztési hitel 2013.</t>
  </si>
  <si>
    <t xml:space="preserve">20. sz. melléklet </t>
  </si>
  <si>
    <t>Ingatlanszerződés- telek visszavásárlás</t>
  </si>
  <si>
    <t>Fejlesztési hitel felvétel: belterületi utak építése</t>
  </si>
  <si>
    <t>Fejlesztési hitel felvétel: körforgalom építése</t>
  </si>
  <si>
    <t>Fejlesztési hitel felvétel: termálfűtés bekötés</t>
  </si>
  <si>
    <t>Fejlesztési hitel felvétel: ingatlanok vásárlása</t>
  </si>
  <si>
    <t>Fejlesztési hitel felvétel:  felújításra átadott pénz RK templom</t>
  </si>
  <si>
    <t>Fejlesztési hitel felvétel: pályázatok önerő része</t>
  </si>
  <si>
    <t>Fejlesztési hitel felvétel: termálfürdő építés terve</t>
  </si>
  <si>
    <t>Fejlesztési hitel felvétel: műv.ház felújítás terve</t>
  </si>
  <si>
    <t>Fejlesztési hitel felvétel: villanyhálózat építés</t>
  </si>
  <si>
    <t xml:space="preserve">27. számú melléklet </t>
  </si>
  <si>
    <t>2028. év</t>
  </si>
  <si>
    <t>2029. év</t>
  </si>
  <si>
    <t>2030. év</t>
  </si>
  <si>
    <t>Saját bevétel 50%</t>
  </si>
  <si>
    <t xml:space="preserve">22. számú melléklet </t>
  </si>
  <si>
    <t>Veresegyház és Környéke Szennnyvízközmű Társulás OTP hitel (szerződés szerinti összeg 34,48 %-a)</t>
  </si>
  <si>
    <t>Szádeczki Jánosné Veresegyház és Vidéke Takarékszöv.</t>
  </si>
  <si>
    <t>Veresegyházi Meseliget Bölcsőde bővítés III.ütem</t>
  </si>
  <si>
    <t>KMOP-4.5.2-11-2012-0036</t>
  </si>
  <si>
    <t xml:space="preserve">Saját erő                                        </t>
  </si>
  <si>
    <r>
      <t xml:space="preserve">EU-s forrás                              </t>
    </r>
    <r>
      <rPr>
        <sz val="8"/>
        <color indexed="10"/>
        <rFont val="Arial"/>
        <family val="2"/>
        <charset val="238"/>
      </rPr>
      <t xml:space="preserve">   </t>
    </r>
  </si>
  <si>
    <t>Bölcsőde építés</t>
  </si>
  <si>
    <t>10.4. sz. melléklet</t>
  </si>
  <si>
    <t xml:space="preserve">16. sz. melléklet </t>
  </si>
  <si>
    <t>18. sz. melléklet</t>
  </si>
  <si>
    <t xml:space="preserve">23. számú melléklet </t>
  </si>
  <si>
    <t xml:space="preserve">25.1. sz. melléklet </t>
  </si>
  <si>
    <t xml:space="preserve">25.2. sz. melléklet </t>
  </si>
  <si>
    <t>26.sz. mellélet</t>
  </si>
  <si>
    <t>PM.</t>
  </si>
  <si>
    <t>likvid hitel</t>
  </si>
  <si>
    <t>TRAVILL</t>
  </si>
  <si>
    <t>Kéri József DR</t>
  </si>
  <si>
    <t>Kt</t>
  </si>
  <si>
    <t>Takarék</t>
  </si>
  <si>
    <t>fejlesztési</t>
  </si>
  <si>
    <t>UniCredit Bank</t>
  </si>
  <si>
    <t>JEGYBANKI</t>
  </si>
  <si>
    <t>MISSZIÓ-HELATH</t>
  </si>
  <si>
    <t>havonta</t>
  </si>
  <si>
    <t>2010.03.  20-tól</t>
  </si>
  <si>
    <t>hosszúlejáratú</t>
  </si>
  <si>
    <t>2010.04.01től- 2028.03.05</t>
  </si>
  <si>
    <t>20.év</t>
  </si>
  <si>
    <t>6 havi LIBOR +2%</t>
  </si>
  <si>
    <t>OTP</t>
  </si>
  <si>
    <t>2010.01.01től-2028.01.01</t>
  </si>
  <si>
    <t>6 havi LIBOR +1,9%</t>
  </si>
  <si>
    <t>K &amp; H (Volksbank)</t>
  </si>
  <si>
    <t>2010.04.01től-2028.03.31</t>
  </si>
  <si>
    <t>K &amp; H</t>
  </si>
  <si>
    <t>árf.dec 31.</t>
  </si>
  <si>
    <t>fkv.        számla</t>
  </si>
  <si>
    <t>hitel-kölcsön állománya   Ft</t>
  </si>
  <si>
    <t>(részlet)               visszafizetés                        napja</t>
  </si>
  <si>
    <t>visszafizetés  várható ideje</t>
  </si>
  <si>
    <t>kamat</t>
  </si>
  <si>
    <t>felvett (nyitó)            hitel-kölcsön   összege</t>
  </si>
  <si>
    <t>kölcsönadó</t>
  </si>
  <si>
    <t>felvétel ideje</t>
  </si>
  <si>
    <t>adatok Ft-ban</t>
  </si>
  <si>
    <t xml:space="preserve">25.3. sz. melléklet </t>
  </si>
  <si>
    <t>átadás ideje</t>
  </si>
  <si>
    <t>kölcsönvevő</t>
  </si>
  <si>
    <t>adott (nyitó)            hitel-kölcsön   összege</t>
  </si>
  <si>
    <t>megjegyzés</t>
  </si>
  <si>
    <t>hitel-kölcsön állománya          Ft-ban</t>
  </si>
  <si>
    <t>2009-2012</t>
  </si>
  <si>
    <t>MISSZIÓ Kft</t>
  </si>
  <si>
    <t>tagi kölcsön</t>
  </si>
  <si>
    <t>mentes</t>
  </si>
  <si>
    <t>önk.többs.             egyéb váll</t>
  </si>
  <si>
    <t>2007.</t>
  </si>
  <si>
    <t>Kollcsiter Zoltán</t>
  </si>
  <si>
    <t>kezességvállalás</t>
  </si>
  <si>
    <t>Takarékszövetekezet</t>
  </si>
  <si>
    <t>háztartás</t>
  </si>
  <si>
    <t>Polgár Mónika</t>
  </si>
  <si>
    <t>Juhász László</t>
  </si>
  <si>
    <t>kölcsön</t>
  </si>
  <si>
    <t>havonta fizet</t>
  </si>
  <si>
    <t>2008-2012</t>
  </si>
  <si>
    <t>Református Egyház</t>
  </si>
  <si>
    <t>non profit</t>
  </si>
  <si>
    <t xml:space="preserve">Kőrösik Bt </t>
  </si>
  <si>
    <t>áh.kívül egyéb kölcsön</t>
  </si>
  <si>
    <t>Holl András</t>
  </si>
  <si>
    <t>Takaréskszövetkezet</t>
  </si>
  <si>
    <t>Bódis Róbert</t>
  </si>
  <si>
    <t>telekvétel miatt</t>
  </si>
  <si>
    <t>Novusz Immo</t>
  </si>
  <si>
    <t>Gábor Cs</t>
  </si>
  <si>
    <t>Kisfalvy letétbe</t>
  </si>
  <si>
    <t>nem önk.            egyéb váll</t>
  </si>
  <si>
    <t>TIGÁZ-DSO</t>
  </si>
  <si>
    <t>fejlesztési kölcsön éven túli</t>
  </si>
  <si>
    <t>Százszorszép u</t>
  </si>
  <si>
    <t>2013.06.30   2015.06.30</t>
  </si>
  <si>
    <t>FEJLESZTÉSI KÖLCSÖN</t>
  </si>
  <si>
    <t>Vass Tiborné</t>
  </si>
  <si>
    <t>Katonai Hagyományőrző Egyesület</t>
  </si>
  <si>
    <t>2010.,2012</t>
  </si>
  <si>
    <t>Ruszin Kisebbségi Önkormányzat</t>
  </si>
  <si>
    <t xml:space="preserve">2011. állami </t>
  </si>
  <si>
    <t>kv.szerv</t>
  </si>
  <si>
    <t>2012.,2012</t>
  </si>
  <si>
    <t>Báder Béla</t>
  </si>
  <si>
    <t>Erdőkertes Polg Hiv</t>
  </si>
  <si>
    <t>Dencsi Attila</t>
  </si>
  <si>
    <t>Társasház Bölcsöde u</t>
  </si>
  <si>
    <t>lakossági gázdijra</t>
  </si>
  <si>
    <t>gázkazán jav</t>
  </si>
  <si>
    <t>25.000/hó</t>
  </si>
  <si>
    <t>Hajdi György dr.</t>
  </si>
  <si>
    <t>Oláh Lászlóné</t>
  </si>
  <si>
    <t>11.6. sz. melléklet</t>
  </si>
  <si>
    <t xml:space="preserve">V.1. MŰKÖDÉSI Költségvetési támogatás államháztartáson belülre </t>
  </si>
  <si>
    <t xml:space="preserve"> - Fabriczius József Ált. Iskola</t>
  </si>
  <si>
    <t xml:space="preserve"> - Zeneiskola</t>
  </si>
  <si>
    <t xml:space="preserve"> - Fabriczius József Gimnázium</t>
  </si>
  <si>
    <t>Idősek Otthona</t>
  </si>
  <si>
    <t>Intézmény megnevezése</t>
  </si>
  <si>
    <t>Álláshelyek számából</t>
  </si>
  <si>
    <t>Meseliget Városi Önkormányzati Bölcsöde</t>
  </si>
  <si>
    <t>Kéz a Kézben Óvoda</t>
  </si>
  <si>
    <t>Gazdasági Műszaki Ellátó Szervezet</t>
  </si>
  <si>
    <t>Váczi Mihály Művelődési Ház</t>
  </si>
  <si>
    <t>Kölcsey Ferenc Városi Könyvtár</t>
  </si>
  <si>
    <t>Kitöltési segédlet:</t>
  </si>
  <si>
    <t>Álláshelyek száma: Tartalmazza a ténylegesen betöltött és üres álláshelyek számát.</t>
  </si>
  <si>
    <t>A részmunkaidőben foglalkoztatott dolgozói létszámot át kell számítani napi 8 órás foglalkoztatásra.</t>
  </si>
  <si>
    <t xml:space="preserve">(Ide kell beszámítani a GYED-ben, GYES-ben részesülő dolgozói létszámot  is, de a helyettesítésükre </t>
  </si>
  <si>
    <t>felvett dolgozói létszámot nem)</t>
  </si>
  <si>
    <t>Munkajogi létszám: Munkaviszonyban álló dolgozók létszámadata</t>
  </si>
  <si>
    <t>Induló létszám: Ténylegesen betöltött álláshelyek száma.</t>
  </si>
  <si>
    <t xml:space="preserve">17. sz. melléklet </t>
  </si>
  <si>
    <t>III.Helyi önkormányzatok általános működésének és ágazati feladatinak támogatása</t>
  </si>
  <si>
    <t>Települési önkormányzatok működésének támogatása</t>
  </si>
  <si>
    <t>Óvodapedagógusok és nevelőmunkát közvtelenül segítők támogatás</t>
  </si>
  <si>
    <t>Óvodaműködtetési támogatás</t>
  </si>
  <si>
    <t>Ingyenes és kedvezményes gyermekétkeztetés támogatása (isk.óv.bölcsöde)</t>
  </si>
  <si>
    <t>Hozzájárulás pénzbeni szociális ellátásokhoz</t>
  </si>
  <si>
    <r>
      <t xml:space="preserve">Egyes szociális és gyermekjóléti feladatok támogatása: </t>
    </r>
    <r>
      <rPr>
        <sz val="8"/>
        <rFont val="Arial CE"/>
        <charset val="238"/>
      </rPr>
      <t xml:space="preserve"> gyermekek napközbeni ellátása</t>
    </r>
  </si>
  <si>
    <t>Idősek átmeneti és tartós  szociális szakosított feladatok támogatása</t>
  </si>
  <si>
    <t>Könyvtári közművelődési és múzeumi feladatok támogatása</t>
  </si>
  <si>
    <t>III. Működési és ágazazi feladatok támogatása</t>
  </si>
  <si>
    <t xml:space="preserve">10.6. sz. melléklet </t>
  </si>
  <si>
    <t>IDŐSEK OTTHONA</t>
  </si>
  <si>
    <t xml:space="preserve">Veresegyház Városi Önkormányzat </t>
  </si>
  <si>
    <t>Város Összesen</t>
  </si>
  <si>
    <t xml:space="preserve">25. sz. melléklet </t>
  </si>
  <si>
    <t>Közcélú foglalkoztatás támogatása</t>
  </si>
  <si>
    <t>873-001-1</t>
  </si>
  <si>
    <t>Idősek Otthona                                                            Minőségügyi rendszer felülvizsgálata</t>
  </si>
  <si>
    <t>10. Kapott kamatok</t>
  </si>
  <si>
    <t>Hozzájárulás pénzbeni szociális ellátásokhoz: segélyek kifizetéséhez</t>
  </si>
  <si>
    <t xml:space="preserve">10.7. sz. melléklet </t>
  </si>
  <si>
    <t>D./I. Beruházási előirányzat célonkénti részletezése</t>
  </si>
  <si>
    <t>D./II. Felújítási előlirányzat célonkénti részletezése</t>
  </si>
  <si>
    <t>Ingatlan vásárlás (TSZ tanya)</t>
  </si>
  <si>
    <t>1. Igazgatási bevétel</t>
  </si>
  <si>
    <t xml:space="preserve">                            Ezer Ft-ban</t>
  </si>
  <si>
    <t xml:space="preserve">Igazgatási bevétel        </t>
  </si>
  <si>
    <t>Helyi adók</t>
  </si>
  <si>
    <t>10.2. sz. melléklet</t>
  </si>
  <si>
    <t>I/1. Egyéb sajátos működési bevétel</t>
  </si>
  <si>
    <t xml:space="preserve">I/1. Helyi adó bevételek összesen </t>
  </si>
  <si>
    <t xml:space="preserve">I/1. Átengedett központi adók összesen </t>
  </si>
  <si>
    <t>10.5.sz. melléklet</t>
  </si>
  <si>
    <t>Egyéb sport egyesület</t>
  </si>
  <si>
    <t>Egyéb alapítványok</t>
  </si>
  <si>
    <t>Egyéb alapítványok,  egyéb civil szervezetek, magánszemélyek tám.</t>
  </si>
  <si>
    <t>Módosított előirányzat 2013.05.22.</t>
  </si>
  <si>
    <t>Változás</t>
  </si>
  <si>
    <t>Módosított előirányzat 2013.06.30.</t>
  </si>
  <si>
    <t xml:space="preserve">Polgármesteri Hivatal </t>
  </si>
  <si>
    <t>Veresegyházi Polgármesteri Hivatal</t>
  </si>
  <si>
    <t>Átengedett központi adók</t>
  </si>
  <si>
    <t>Egyéb sajátos működési bevétel</t>
  </si>
  <si>
    <t xml:space="preserve">              </t>
  </si>
  <si>
    <t xml:space="preserve">  Ezer Ft-ban </t>
  </si>
  <si>
    <t xml:space="preserve">     </t>
  </si>
  <si>
    <t>10.8. sz. melléklet</t>
  </si>
  <si>
    <t>10.9. sz. melléklet</t>
  </si>
  <si>
    <t>Közvetett támogatás  összege</t>
  </si>
  <si>
    <t>2013 Eredeti előirányzat</t>
  </si>
  <si>
    <t xml:space="preserve">                            a kezességvállalásokból a kezesség érvényesíthetőségeig fennálló kötelezettségekről</t>
  </si>
  <si>
    <t xml:space="preserve">                    az adósságot keletkeztető ügyletekből eredő fizetési kötelezettségek futamidő végéig fennálló összegéről </t>
  </si>
  <si>
    <t>Bérkompenzálás</t>
  </si>
  <si>
    <t>Gyermekszegénység elleni nyári étkezési hozzájárulás</t>
  </si>
  <si>
    <t>Adósságtámogatás (Takarék 130M)</t>
  </si>
  <si>
    <t>Működési célú támog. Bev. Önkorm-i szervtől (Csomád gyermekjóléti Szolgálat)</t>
  </si>
  <si>
    <t>Működési célú támogatási bev. Központi ktv-i szervtől (KIK Gödöllői Tanker térítési díj 30%-a)</t>
  </si>
  <si>
    <t>Működési célú támog. Bev. Önkorm-i szervtől (Vácrátót Önkorm. 2012. évi elszámolás)</t>
  </si>
  <si>
    <t>Költségvetési Bevétel</t>
  </si>
  <si>
    <t>Költségvetési Kiadás</t>
  </si>
  <si>
    <t>Összesen Bevétel</t>
  </si>
  <si>
    <t>Összesen Kiadás</t>
  </si>
  <si>
    <t>Finanszírozási igény Bevétel</t>
  </si>
  <si>
    <t>Intézményi létszámadatok előirányzata 2013. I.félévre vonatkozóan</t>
  </si>
  <si>
    <t>Közfoglalkoztatottak engedelyezett létszáma 2013. I.félévre vonatkozóan</t>
  </si>
  <si>
    <t>Engedélyezett álláshelyek száma</t>
  </si>
  <si>
    <t>Munkajogi létszám</t>
  </si>
  <si>
    <t>Induló létszám</t>
  </si>
  <si>
    <t>főállású dolgozó</t>
  </si>
  <si>
    <t>részfoglalkoztatott</t>
  </si>
  <si>
    <t xml:space="preserve">                                                                 2013.06.30</t>
  </si>
  <si>
    <t>Hitel Felvétel</t>
  </si>
  <si>
    <t>Hitel Törlesztés</t>
  </si>
  <si>
    <t>Hitel/Kötvény Kibocsátás</t>
  </si>
  <si>
    <t>Hitel/Kötvény Beváltás</t>
  </si>
  <si>
    <t xml:space="preserve">                                                          2013.06.30</t>
  </si>
  <si>
    <t>2013. évi Eredeti előirányzat</t>
  </si>
  <si>
    <t xml:space="preserve"> 2013.évben visszafizetett összeg</t>
  </si>
  <si>
    <t>konszolidáció</t>
  </si>
  <si>
    <t xml:space="preserve">állomány devizában </t>
  </si>
  <si>
    <r>
      <t>kötvény 2013.nyitó</t>
    </r>
    <r>
      <rPr>
        <b/>
        <sz val="7"/>
        <rFont val="Arial"/>
        <family val="2"/>
        <charset val="238"/>
      </rPr>
      <t xml:space="preserve"> ÁLLOMÁNYA Ft-ban</t>
    </r>
  </si>
  <si>
    <t>2013.04.14-2031.04.14</t>
  </si>
  <si>
    <t>800mil szerződés</t>
  </si>
  <si>
    <t>egyéb hitelek 2013.nyitó állománya</t>
  </si>
  <si>
    <t>OTP munkabér</t>
  </si>
  <si>
    <t>2013..02.28</t>
  </si>
  <si>
    <t>OTP folyószámla</t>
  </si>
  <si>
    <t>2013 évben felvett:</t>
  </si>
  <si>
    <t>visszafizetések</t>
  </si>
  <si>
    <t>hitelállomány (2013nyitó+2013.felvett -visszafizetések)</t>
  </si>
  <si>
    <t>kontroll</t>
  </si>
  <si>
    <t>2013.évben visszafiz</t>
  </si>
  <si>
    <t>HAJDU Kft</t>
  </si>
  <si>
    <t>meg nem valósult telekvásár</t>
  </si>
  <si>
    <t>NYITÓ 2013.01.01</t>
  </si>
  <si>
    <t>JUKO Kft</t>
  </si>
  <si>
    <t>támogatás megelőlegezése</t>
  </si>
  <si>
    <t>műk.bev.megelőlegezése</t>
  </si>
  <si>
    <t>2013.évi pénzforgalom</t>
  </si>
  <si>
    <t>2013. év Eredeti előirányzat</t>
  </si>
  <si>
    <t>Pénzeszköz átadás háztartásoknak (összközmű visszafizetés)</t>
  </si>
  <si>
    <t>Pénzeszköz átadás külföldinek (Csáky Károly támogatás)</t>
  </si>
  <si>
    <t>Pénzeszköz átadás külföldinek (Korond Község támogatás)</t>
  </si>
  <si>
    <t>Pénzeszköz átadás külföldinek (Ibolybalog város támogatása)</t>
  </si>
  <si>
    <t>Beruházási c.pe. Átadás egyéb vállalkozásnak (Magyar Kincsek portája felújítási munka anyagktg.)</t>
  </si>
  <si>
    <t>Működési célú kölcsön nyújtása JUKO részére szállítói finanszírozás</t>
  </si>
  <si>
    <t>Müködési kölcsön nyújtása kv-i szervnek Erdőkertes Önkormányzat részére</t>
  </si>
  <si>
    <t>Adósságtámogatás (Takarék 130M kamat)</t>
  </si>
  <si>
    <t xml:space="preserve">                                        2013.06.30</t>
  </si>
  <si>
    <t>Kéri József (kamat 2013.évi likvid hitel))</t>
  </si>
  <si>
    <t>Takarék 2013.évi 100 mil likvid hitel kamat</t>
  </si>
  <si>
    <t>Veresegyház Város Önkormányzat                                                        Tervezett beruházási feladat</t>
  </si>
  <si>
    <t>változás</t>
  </si>
  <si>
    <t>Szakfeladat összesen EREDETI ÖNKÉNT VÁLLALT</t>
  </si>
  <si>
    <t>Szakfeladat összesen MÓDOSÍTOTT 2013.06.30. ÖNKÉNT VÁLLALT</t>
  </si>
  <si>
    <t>Szakfeladat összesen  EREDETI KÖTELEZŐ</t>
  </si>
  <si>
    <t>Szakfeladat összesen  MÓDOSÍTOTT 2013.06.30. KÖTELEZŐ</t>
  </si>
  <si>
    <t>Önkormányzat szakfeladat ÖSSZESEN</t>
  </si>
  <si>
    <t>Blogék Kft: szennyvízelvezető rendszer építése Viczián u.- Lendvai u. - Kútfő u. között</t>
  </si>
  <si>
    <t>Plastfer Kft: Viczián-Százszorszép-Búzavirág u. szennyvízcsatorna építéshez szükséges mélyépítési elemek vásárlása</t>
  </si>
  <si>
    <t xml:space="preserve">Blogék Kft: Százszorszép u.-ban szennyvízcsatorna építése </t>
  </si>
  <si>
    <t>Blogék Kft: Viczián-Százszorszép-Búzavirág u.  szennyvízcsat. építéshez</t>
  </si>
  <si>
    <t xml:space="preserve">Monovia Bt.: Szondi, Klapka, Pázmány u. útalap építés előirányzat növelés </t>
  </si>
  <si>
    <t>zúzottkő vásárlás, szállítás</t>
  </si>
  <si>
    <t>Blogék Kft: Margita u. útalap építés</t>
  </si>
  <si>
    <t>Margita u. építés</t>
  </si>
  <si>
    <t>Harcsa u. építés</t>
  </si>
  <si>
    <t>Keszeg u. építés</t>
  </si>
  <si>
    <t>Penta Kft.: Szondi u. aszfaltozás</t>
  </si>
  <si>
    <t>Penta Kft.: Dobó u. aszfaltozás</t>
  </si>
  <si>
    <t>Dobos és Ivácson 2000 kft: Fabriczius József Ált. Isk. előtt buszmegálló kivitelezés</t>
  </si>
  <si>
    <t>Penta Kft: Fészekrakó u. aszfalt szőnyegezés kivitelezés és helyreállítás</t>
  </si>
  <si>
    <t>Blogék Kft: Ráday u. térkövezéshez térburkoló kövek beszerzése</t>
  </si>
  <si>
    <t>DMRV ZRT: Ráday u. 5/A, 7 útépítés miatt vízbekötésfelújítás</t>
  </si>
  <si>
    <t>Kucsa Ker Kft: falazóelemek Ráday u.-hoz</t>
  </si>
  <si>
    <t>Térkő Top Kft.: Térkő vételár - Ráday u. térkövezéshez</t>
  </si>
  <si>
    <t>Bunder és Mócsány Kft: Kisrét u. 3db forgalomlassító bukkanó építése</t>
  </si>
  <si>
    <t>Monovia Bt.: Zrínyi u. útalap építés</t>
  </si>
  <si>
    <t>Penta Kft: Zrínyi u. aszfaltozás</t>
  </si>
  <si>
    <t>Kucsa Ker Kft: Térkő vételár - Eötvös u.-i térkövezéshez</t>
  </si>
  <si>
    <t>Rea-Szí Újházak Kft: Eötvös u. járda építés</t>
  </si>
  <si>
    <t>Kucsa-Ker Kft.: Hullámtérkő vásárlás Eötvös u. útépítéshez</t>
  </si>
  <si>
    <t>Kucsa-Ker Kft.: Térkő vásárlás Eötvös u. útépítéshez</t>
  </si>
  <si>
    <t>Bunder és Mócsány Bt.: Kálvin u. gyalogos átkelőhely úszegély akadálymentesítés</t>
  </si>
  <si>
    <t>Bunder és Mócsány Bt.: Fő út 25. terület előtti viacolorozás</t>
  </si>
  <si>
    <t>Bunder és Mócsány Bt.: Fő út- Coop Áruház előtti viacolorozás</t>
  </si>
  <si>
    <t>Penta Kft: Klapka és Pázmány u. aszfaltozás</t>
  </si>
  <si>
    <t>Bunder és Mócsány Bt.: Katolikus Templom melletti járda,lépcső kivitelezése</t>
  </si>
  <si>
    <t>Bunder és Mócsány Bt.: Katolikus templomtér melletti 45nm terület térkövezése</t>
  </si>
  <si>
    <t>Bunder és Mócsány Bt.: Attila u. útalap építés</t>
  </si>
  <si>
    <t>Penta: Attila és Palást u. aszfaltozás</t>
  </si>
  <si>
    <t>Monovia: Palást u. útalap építés</t>
  </si>
  <si>
    <t>Monovia: Julianus Barát u. útalap építés</t>
  </si>
  <si>
    <t>Monovia: Salamon Király u. útalap építés</t>
  </si>
  <si>
    <t>Monovia: Regős u. útalap építés</t>
  </si>
  <si>
    <t>Monovia: Honfoglalás köz útalap építés</t>
  </si>
  <si>
    <t>Bunder és Mócsány: Liszt F. u. útalap építés</t>
  </si>
  <si>
    <t>Bunder és Mócsány: Somlyó u. útalap építés</t>
  </si>
  <si>
    <t>Penta: Bartók B. és Harmónia közötti átkötés (olajvezeték felett) aszfaltozás</t>
  </si>
  <si>
    <t>No-La Bt.: Százszorszép u. ivóvízhálózat építés</t>
  </si>
  <si>
    <t>Blogék Kft: Mogyoródi u. 21-23. csapadékcsatorna akna építés</t>
  </si>
  <si>
    <t>Monovia Bt.: Zrínyi és Pázmány utcák csapadék csatorna építési munkái</t>
  </si>
  <si>
    <t>Porció: Őszi Liget Idősek otthona termál hőközpont kiviteli terv</t>
  </si>
  <si>
    <t>Porció: Őszi Liget Idősek otthona termál rendszer kivitelezés</t>
  </si>
  <si>
    <t>KDVVF: Geotermális rendszer vízjogi üzemeltetési engedély módosítás</t>
  </si>
  <si>
    <t>Földhő Bt.: IV. számú termálkút vizsgálati dokumentáció, vízjogi létesítési engedély dokumentáció</t>
  </si>
  <si>
    <t>BP Főváros Kormányhivatala Népegészségügyi Szakigazgatási Szerve: Igazgatási szolgáltatási díj  KTVF:6177-9/2013 B-15 termálkút</t>
  </si>
  <si>
    <t xml:space="preserve">Közép-Dunavölgyi Környezetvédelmi Felügyelőség: 6177-9/2013 igazgatási szolgáltatási díj termálvízkút védőterületésnek kijelölése </t>
  </si>
  <si>
    <t xml:space="preserve">Közép-Dunavölgyi Vízügyi Felügyelőség: Hatósági eljárási díj termálrendszer bővítése </t>
  </si>
  <si>
    <t xml:space="preserve">Közép-Dunavölgyi Környezetvédelmi Természetvédelmi Vízügyi Felügyelőség: vízjogi lét.eng. kérelem új termálkút  </t>
  </si>
  <si>
    <t>Pest Megyei Kormányhivatal Növény és Talajvédelmi Igazgatóság: KTVF26285-7/2013.újtermálkút szakhatósági elj</t>
  </si>
  <si>
    <t xml:space="preserve">Pest Megyei Földhivatal:KTVF:26285-7/2013.ig.szolg.dij                  </t>
  </si>
  <si>
    <t>Károlyi Zongoraszalon Kft.: Zongora, tartozékok vételár</t>
  </si>
  <si>
    <t>Falcon Pool Security Kft.: Kamerás rendszer telepítése, GE előtti útszakaszon</t>
  </si>
  <si>
    <t>Ábrahám Miklós: Mezőőri autó vásárlása Mitsubishi L200</t>
  </si>
  <si>
    <t>Somody Kft: Ingatlan vételár vház, 8832/32,34,35,52,53,96HRSZ</t>
  </si>
  <si>
    <t>Fehér Sándor- Fehér Sándorné: Köves u. 12. ingatlan vételár</t>
  </si>
  <si>
    <t>Rudolf Attlia- Rudolf Attiláné: Veresegyház, 24/2Hrsz 794nm lakóház vételár</t>
  </si>
  <si>
    <t>Vargyas Erzsébet: 9386/1hrsz 174 nm ing. Vételár</t>
  </si>
  <si>
    <t>Nádasdi Gáborné: 3534/2hrsz, Mogyoródi u. 13. 2578nm lakóház, ingatlan vételár</t>
  </si>
  <si>
    <t>Mihalina Mária: 631hrsz, Csokonai u. 10., 923nm lakóház, ing. Vételár</t>
  </si>
  <si>
    <t>Iron-Fém Kft. 031/9,/10 hrsz ing.vételár</t>
  </si>
  <si>
    <t>Balatoniné Szabó Ágnes 031/10hrsz ing vételár</t>
  </si>
  <si>
    <t>Szabó Gergely 031/10 hrsz ing. Vételár</t>
  </si>
  <si>
    <t>Bergman Consulting Kft: Szent Györgyi Albert u. 1. I/9 lakás vásárlás</t>
  </si>
  <si>
    <t>Hegedűs Péter: Konyhabútor, sütő, főzőlap vételár - Bölcsőde u.-i társasház</t>
  </si>
  <si>
    <t>Október 6-ai szobor</t>
  </si>
  <si>
    <t>841-353-1</t>
  </si>
  <si>
    <t>Finex 5.0 Kft: Napelem erőművel kapcsolatos pályázati kiviteli munkálatok, mérnöki tevékenység, tanácsadás, koordináció</t>
  </si>
  <si>
    <t>841-403-1</t>
  </si>
  <si>
    <t>Pestterv Kft.:Településrendezési terv, térinformatikai adabázis létrehozása</t>
  </si>
  <si>
    <t>Kvadrum Építész Kft.: Katolikus temető ravatalozó felújítás terve</t>
  </si>
  <si>
    <t>Kvadrum Építész Kft.: Veresegyház, Katolikus temető - ravatalozó épület bővítése és átalakítása - építési kiviteli terv elkészítése</t>
  </si>
  <si>
    <t>Vis Naturalis Bt: Veresegyház Fenntartható Fejlődése helyi programjának elkészítése</t>
  </si>
  <si>
    <t>852-021-1</t>
  </si>
  <si>
    <t>Vándorépítész Kft.: Veresegyház, Református Általános Iskola II - III. ütem terveinek elkészítése</t>
  </si>
  <si>
    <t>Közbeszerzési Hatóság közzétételi díj Meseliget Bölcs.bőv.3.ü. 3476/2013</t>
  </si>
  <si>
    <t>Közbeszerzési Hatóság közzétételi díj Meseliget Bölcs.bőv.3.ü.</t>
  </si>
  <si>
    <t>Közbeszerzési Hatóság: 10626/2013 Közzétételi díj eszközöbeszerzés Meseliget Bölcsöde</t>
  </si>
  <si>
    <t>931-903-1</t>
  </si>
  <si>
    <t>Everling Kft.: Csokonai u. 2/a nagypálya építés pótmunka</t>
  </si>
  <si>
    <t>55/2013. (IV.30) Kt. Határozat: Labdarúgó pálya műfűvel való borítása, megvilágítása, valamint a labdafogó hálókat tartalmazó pályázat műszaki tartalmának kiegészítése</t>
  </si>
  <si>
    <t>56/2013. (IV.30) Kt. Határozat: 5 db műfüves labdarúgó kispálya megépítés - önerő kiegészítés</t>
  </si>
  <si>
    <t>Veresegyház Város Önkormányzat Tervezett  beruházások összesen</t>
  </si>
  <si>
    <t>381-101-1</t>
  </si>
  <si>
    <t>Gamesz: kukásautó motorfelújítása</t>
  </si>
  <si>
    <t>421-100-1</t>
  </si>
  <si>
    <t>Gamesz: Honda motoros lapvibrátor beszerzése</t>
  </si>
  <si>
    <t>813-000-1</t>
  </si>
  <si>
    <t>Gamesz: Aljnovényzet tisztító FS410 beszerzése</t>
  </si>
  <si>
    <t>Gamesz: Honda zagyszivattyú beszerzése (2db)</t>
  </si>
  <si>
    <t>Gamesz: Hótoló lapát (Locus903) beszerzése</t>
  </si>
  <si>
    <t>Gamesz: Szerver bővítés</t>
  </si>
  <si>
    <t>Tervezett  beruházások összesen</t>
  </si>
  <si>
    <t>Veresegyház Város Önkormányzat                                                     Tervezett felújítási feladat</t>
  </si>
  <si>
    <t>Gamesz: B-15 Termálkút szivattyú felújítás</t>
  </si>
  <si>
    <t>680-002-1</t>
  </si>
  <si>
    <t>KUCSA-KER KFT: Szigetelő anyagok vásárlása Fő út 68.</t>
  </si>
  <si>
    <t>Tímár Vaskereskedelmi Kft: Zár vásárlás Fő út 68.</t>
  </si>
  <si>
    <t>Auchan Magyarország Kft.: Locsolótömlő vásárlás Fő út 68.</t>
  </si>
  <si>
    <t>Lengyel István: Vezetékes riasztó vásárlása Fő út 68.</t>
  </si>
  <si>
    <t xml:space="preserve">Ber-Ker-Plussz Kft: Festék vásárlása Fő út 68.        </t>
  </si>
  <si>
    <t xml:space="preserve">Ber-Ker-Plussz Kft: Festék, ecset vásárlása Fő út 68.        </t>
  </si>
  <si>
    <t>Vas-Fémker Kft: Szerkezeti cső vásárlása Fő út 68.</t>
  </si>
  <si>
    <t xml:space="preserve">Terra Metal Kft: Felújítási költség Fő út 68.        </t>
  </si>
  <si>
    <t>Csíky és Társa Kkt: műszaki ellenőrzés Római Katolikus templom felújítása</t>
  </si>
  <si>
    <t>Bedő Csongor László: Római Katolikus templom faszobrászati restaurálás</t>
  </si>
  <si>
    <t>Fejes Attlia: Római Katolikus templom ólomüvegek restaurálása</t>
  </si>
  <si>
    <t>EPU FA-KŐ Restaurátor-művész Kft.: Római Katolikus templom kőrestaurátori munkák kivitelezése</t>
  </si>
  <si>
    <t>Fodor Edina: RK templ. belső falfelület, főoltár restaurálás</t>
  </si>
  <si>
    <t>Lengyel Építéstechnika Kft.: Római Katolikus Templom belső felújítása</t>
  </si>
  <si>
    <t>Hanka Média Kft: katolikus templom- tervrajz nyomtatás</t>
  </si>
  <si>
    <t>Közbeszerzési Hatóság: közzétételi díj</t>
  </si>
  <si>
    <t>Monovia Bt.: Mézesvölgyi patak terméskő burkolatának felújítása (Kis- és Mogyoródi utcák között)</t>
  </si>
  <si>
    <t>851-011-1</t>
  </si>
  <si>
    <t>Porció Kft: Tanulmány Nap, Béke u.1. zöld óvoda középületek energetikai fejlesztése</t>
  </si>
  <si>
    <t>Porció Kft: Tanulmány Nap, Béke u.3. Piros óvoda középületek energetikai fejlesztése</t>
  </si>
  <si>
    <t>Porció Kft: tanulmány Széchenyi Téri Óvoda energetikai fejlesztése</t>
  </si>
  <si>
    <t>Világítás korszerűsítés F.J.Ált.Isk.</t>
  </si>
  <si>
    <t>852-031-1</t>
  </si>
  <si>
    <t>Porció Kft: Tanulmány - Zeneiskola - Nap u.-ban középületek energetikai fejlesztése</t>
  </si>
  <si>
    <t>869-041-1</t>
  </si>
  <si>
    <t>Perfect Project: Energetikai fejlesztés auditálása védőnői épület</t>
  </si>
  <si>
    <t>873-011-1</t>
  </si>
  <si>
    <t>Perfect Project: Energetikai fejlesztés auditálása, Idősek Otthona</t>
  </si>
  <si>
    <t>Porció Kft: tanulmány Sportkör energetikai fejlesztése</t>
  </si>
  <si>
    <t>Veresegyház Város Önkormányzat Tervezett felújítások összesen:</t>
  </si>
  <si>
    <t>Tervezett felújítások összesen</t>
  </si>
  <si>
    <t>12. sz. melléklet</t>
  </si>
  <si>
    <t>13.sz. melléklet</t>
  </si>
  <si>
    <t>14.sz.melléklet</t>
  </si>
  <si>
    <t>Matyéka Andrásné Veresegyház és Vidéke Takszöv. (lejárat 2014.03.20.)</t>
  </si>
  <si>
    <t>Ella Imréné Veresegyház és Vidéke Takarékszöv. (lejárat 2014.05.20.)</t>
  </si>
  <si>
    <t>Adósságot keletkeztető ügylet megnevezése **</t>
  </si>
  <si>
    <t>9. Talajterhelési díj</t>
  </si>
  <si>
    <t>1. Bírság, pótlék</t>
  </si>
  <si>
    <t>Teljesítés 2013.06.30.</t>
  </si>
  <si>
    <t xml:space="preserve">                 </t>
  </si>
  <si>
    <t xml:space="preserve"> 10.1. sz. melléklet</t>
  </si>
  <si>
    <t>2. Egyéb közhatalmi bevételek</t>
  </si>
  <si>
    <t>Működési célú támogatási bev. Központi ktv-i szervtől (NAV Agrártermelési támogatás)</t>
  </si>
  <si>
    <t>Működési célú támogatási bev. Központi ktv-i szervtől (Gyermekvédelmi támogatás, gyermektartásdíj megelőlegezése, pótlólagos állami támogatás)</t>
  </si>
  <si>
    <t>Felhalmozási célú pe. Átadás alapítványoknak (Romai Katolikus Templom belső felújítása)-ravatalozó felújítása</t>
  </si>
  <si>
    <t>Triatlon Sport Alapítvány</t>
  </si>
  <si>
    <t xml:space="preserve">I. Intézményi működési bevételek részletezése </t>
  </si>
  <si>
    <t xml:space="preserve">I. Intézményi működési bevételek összesen </t>
  </si>
  <si>
    <t>Működési célú támog. Bev. Központi kv.szervtől (könyvtár)</t>
  </si>
  <si>
    <t>Működési célú támog. Bev. Helyi önkormányzattól és költségvetési szerveitől (óvoda)</t>
  </si>
  <si>
    <t>Átvett működési célú pénzeszköz áh. kívülről (könyvtár)</t>
  </si>
  <si>
    <t>Fenálló állomány 2013.06.30.</t>
  </si>
  <si>
    <t>Működési célú támogatási bev. Központi ktv-i szervtől (Földalapú támogatás)</t>
  </si>
  <si>
    <t>Teljesítési adatok 2013.06.30.</t>
  </si>
  <si>
    <t>Rea-Szí: Eötvös u. járda építés 981/40 hrsz</t>
  </si>
  <si>
    <t>Egyéb útépítés</t>
  </si>
  <si>
    <t xml:space="preserve">Pénzügyi befektetések </t>
  </si>
  <si>
    <t>Eredeti előirányzat összege</t>
  </si>
  <si>
    <t xml:space="preserve">Módosított ei 2013.06.30. </t>
  </si>
  <si>
    <t xml:space="preserve">Teljesítés 2013.06.30. </t>
  </si>
  <si>
    <t>Finanszírozási igény 2013.06.30.</t>
  </si>
</sst>
</file>

<file path=xl/styles.xml><?xml version="1.0" encoding="utf-8"?>
<styleSheet xmlns="http://schemas.openxmlformats.org/spreadsheetml/2006/main">
  <numFmts count="9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#,##0_ ;[Red]\-#,##0\ "/>
    <numFmt numFmtId="165" formatCode="#,##0_ ;\-#,##0\ "/>
    <numFmt numFmtId="166" formatCode="[$CHF-1407]\ #,##0.00"/>
    <numFmt numFmtId="167" formatCode="[$CHF-1407]\ #,##0"/>
    <numFmt numFmtId="168" formatCode="[$€-2]\ #,##0.00"/>
    <numFmt numFmtId="169" formatCode="yyyy/mm/dd;@"/>
    <numFmt numFmtId="170" formatCode="_-* #,##0\ &quot;Ft&quot;_-;\-* #,##0\ &quot;Ft&quot;_-;_-* &quot;-&quot;??\ &quot;Ft&quot;_-;_-@_-"/>
  </numFmts>
  <fonts count="5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i/>
      <sz val="10"/>
      <name val="Arial CE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8"/>
      <name val="Arial CE"/>
      <family val="2"/>
      <charset val="238"/>
    </font>
    <font>
      <i/>
      <sz val="8"/>
      <name val="Arial CE"/>
      <charset val="238"/>
    </font>
    <font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7"/>
      <name val="Arial CE"/>
      <charset val="238"/>
    </font>
    <font>
      <b/>
      <sz val="7"/>
      <name val="Arial CE"/>
      <charset val="238"/>
    </font>
    <font>
      <sz val="6"/>
      <name val="Arial CE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7"/>
      <name val="Arial"/>
      <family val="2"/>
      <charset val="238"/>
    </font>
    <font>
      <b/>
      <sz val="6"/>
      <name val="Arial"/>
      <family val="2"/>
      <charset val="238"/>
    </font>
    <font>
      <b/>
      <sz val="7"/>
      <name val="Arial"/>
      <family val="2"/>
      <charset val="238"/>
    </font>
    <font>
      <sz val="6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i/>
      <sz val="7"/>
      <name val="Arial"/>
      <family val="2"/>
      <charset val="238"/>
    </font>
    <font>
      <sz val="8"/>
      <name val="Courier New"/>
      <family val="3"/>
      <charset val="238"/>
    </font>
    <font>
      <b/>
      <sz val="9"/>
      <name val="Arial CE"/>
      <charset val="238"/>
    </font>
    <font>
      <b/>
      <sz val="11"/>
      <color theme="1"/>
      <name val="Calibri"/>
      <family val="2"/>
      <scheme val="minor"/>
    </font>
    <font>
      <sz val="10"/>
      <color theme="1"/>
      <name val="Arial CE"/>
      <charset val="238"/>
    </font>
    <font>
      <b/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0">
    <xf numFmtId="0" fontId="0" fillId="0" borderId="0"/>
    <xf numFmtId="43" fontId="12" fillId="0" borderId="0" applyFont="0" applyFill="0" applyBorder="0" applyAlignment="0" applyProtection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5" fillId="0" borderId="0"/>
    <xf numFmtId="0" fontId="4" fillId="0" borderId="0"/>
    <xf numFmtId="44" fontId="4" fillId="0" borderId="0" applyFont="0" applyFill="0" applyBorder="0" applyAlignment="0" applyProtection="0"/>
    <xf numFmtId="0" fontId="14" fillId="0" borderId="0"/>
    <xf numFmtId="0" fontId="4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</cellStyleXfs>
  <cellXfs count="990">
    <xf numFmtId="0" fontId="0" fillId="0" borderId="0" xfId="0"/>
    <xf numFmtId="0" fontId="7" fillId="0" borderId="0" xfId="0" applyFont="1"/>
    <xf numFmtId="0" fontId="9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/>
    <xf numFmtId="0" fontId="0" fillId="0" borderId="0" xfId="0" applyAlignment="1"/>
    <xf numFmtId="0" fontId="0" fillId="0" borderId="0" xfId="0" applyFill="1" applyBorder="1" applyAlignment="1">
      <alignment vertical="top" wrapText="1"/>
    </xf>
    <xf numFmtId="0" fontId="10" fillId="0" borderId="0" xfId="0" applyFont="1"/>
    <xf numFmtId="0" fontId="7" fillId="0" borderId="1" xfId="0" applyFont="1" applyBorder="1"/>
    <xf numFmtId="0" fontId="11" fillId="0" borderId="1" xfId="0" applyFont="1" applyBorder="1"/>
    <xf numFmtId="0" fontId="12" fillId="0" borderId="1" xfId="0" applyFont="1" applyBorder="1"/>
    <xf numFmtId="0" fontId="7" fillId="2" borderId="1" xfId="0" applyFont="1" applyFill="1" applyBorder="1"/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8" fillId="0" borderId="1" xfId="0" applyFont="1" applyBorder="1"/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horizontal="center"/>
    </xf>
    <xf numFmtId="0" fontId="17" fillId="0" borderId="0" xfId="0" applyFont="1"/>
    <xf numFmtId="0" fontId="11" fillId="0" borderId="0" xfId="0" applyFont="1"/>
    <xf numFmtId="0" fontId="11" fillId="0" borderId="1" xfId="0" applyFont="1" applyBorder="1" applyAlignment="1">
      <alignment vertical="center" wrapText="1"/>
    </xf>
    <xf numFmtId="0" fontId="18" fillId="0" borderId="1" xfId="0" applyFont="1" applyBorder="1"/>
    <xf numFmtId="3" fontId="11" fillId="0" borderId="1" xfId="0" applyNumberFormat="1" applyFont="1" applyBorder="1"/>
    <xf numFmtId="3" fontId="18" fillId="0" borderId="1" xfId="0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/>
    <xf numFmtId="0" fontId="0" fillId="0" borderId="0" xfId="0" applyBorder="1"/>
    <xf numFmtId="0" fontId="0" fillId="2" borderId="1" xfId="0" applyFill="1" applyBorder="1"/>
    <xf numFmtId="3" fontId="0" fillId="0" borderId="1" xfId="0" applyNumberFormat="1" applyBorder="1"/>
    <xf numFmtId="0" fontId="18" fillId="0" borderId="1" xfId="0" applyFont="1" applyBorder="1" applyAlignment="1">
      <alignment horizontal="center" vertical="center"/>
    </xf>
    <xf numFmtId="3" fontId="20" fillId="0" borderId="1" xfId="0" applyNumberFormat="1" applyFont="1" applyBorder="1"/>
    <xf numFmtId="0" fontId="20" fillId="0" borderId="0" xfId="0" applyFont="1" applyBorder="1"/>
    <xf numFmtId="0" fontId="7" fillId="0" borderId="0" xfId="0" applyFont="1" applyBorder="1"/>
    <xf numFmtId="0" fontId="20" fillId="0" borderId="0" xfId="0" applyFont="1" applyBorder="1" applyAlignment="1">
      <alignment horizontal="center"/>
    </xf>
    <xf numFmtId="3" fontId="7" fillId="0" borderId="1" xfId="0" applyNumberFormat="1" applyFont="1" applyBorder="1"/>
    <xf numFmtId="0" fontId="21" fillId="0" borderId="1" xfId="0" applyFont="1" applyBorder="1"/>
    <xf numFmtId="3" fontId="7" fillId="0" borderId="1" xfId="0" applyNumberFormat="1" applyFont="1" applyBorder="1" applyAlignment="1">
      <alignment horizontal="right"/>
    </xf>
    <xf numFmtId="0" fontId="18" fillId="0" borderId="3" xfId="0" applyFont="1" applyBorder="1" applyAlignment="1">
      <alignment horizontal="left"/>
    </xf>
    <xf numFmtId="3" fontId="0" fillId="2" borderId="1" xfId="0" applyNumberFormat="1" applyFill="1" applyBorder="1"/>
    <xf numFmtId="3" fontId="0" fillId="0" borderId="1" xfId="0" applyNumberFormat="1" applyBorder="1" applyAlignment="1">
      <alignment horizontal="right"/>
    </xf>
    <xf numFmtId="0" fontId="11" fillId="0" borderId="3" xfId="0" applyFont="1" applyBorder="1" applyAlignment="1">
      <alignment horizontal="left" wrapText="1"/>
    </xf>
    <xf numFmtId="0" fontId="23" fillId="0" borderId="3" xfId="0" applyFont="1" applyBorder="1" applyAlignment="1">
      <alignment horizontal="left"/>
    </xf>
    <xf numFmtId="0" fontId="20" fillId="0" borderId="3" xfId="0" applyFont="1" applyBorder="1" applyAlignment="1">
      <alignment horizontal="center"/>
    </xf>
    <xf numFmtId="0" fontId="11" fillId="0" borderId="0" xfId="0" applyFont="1" applyBorder="1"/>
    <xf numFmtId="16" fontId="11" fillId="0" borderId="0" xfId="0" applyNumberFormat="1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2" fontId="11" fillId="0" borderId="1" xfId="0" applyNumberFormat="1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/>
    </xf>
    <xf numFmtId="0" fontId="0" fillId="0" borderId="13" xfId="0" applyBorder="1"/>
    <xf numFmtId="3" fontId="11" fillId="0" borderId="1" xfId="0" applyNumberFormat="1" applyFont="1" applyBorder="1" applyAlignment="1"/>
    <xf numFmtId="0" fontId="18" fillId="0" borderId="0" xfId="0" applyFont="1" applyBorder="1"/>
    <xf numFmtId="0" fontId="11" fillId="0" borderId="1" xfId="0" applyFont="1" applyBorder="1" applyAlignment="1">
      <alignment wrapText="1"/>
    </xf>
    <xf numFmtId="0" fontId="18" fillId="0" borderId="0" xfId="0" applyFont="1" applyAlignment="1">
      <alignment horizontal="centerContinuous"/>
    </xf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/>
    <xf numFmtId="3" fontId="7" fillId="0" borderId="0" xfId="0" applyNumberFormat="1" applyFont="1" applyBorder="1" applyAlignment="1">
      <alignment horizontal="right"/>
    </xf>
    <xf numFmtId="3" fontId="0" fillId="0" borderId="0" xfId="0" applyNumberFormat="1" applyBorder="1"/>
    <xf numFmtId="0" fontId="24" fillId="0" borderId="1" xfId="0" applyFont="1" applyBorder="1"/>
    <xf numFmtId="3" fontId="11" fillId="0" borderId="1" xfId="0" applyNumberFormat="1" applyFont="1" applyFill="1" applyBorder="1" applyAlignment="1"/>
    <xf numFmtId="0" fontId="22" fillId="0" borderId="0" xfId="0" applyFont="1" applyAlignment="1">
      <alignment vertical="center"/>
    </xf>
    <xf numFmtId="3" fontId="0" fillId="0" borderId="0" xfId="0" applyNumberFormat="1"/>
    <xf numFmtId="0" fontId="0" fillId="0" borderId="0" xfId="0" applyFill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11" fillId="0" borderId="1" xfId="0" applyFont="1" applyFill="1" applyBorder="1"/>
    <xf numFmtId="0" fontId="11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Continuous"/>
    </xf>
    <xf numFmtId="0" fontId="18" fillId="0" borderId="0" xfId="0" applyFont="1"/>
    <xf numFmtId="0" fontId="18" fillId="2" borderId="1" xfId="0" applyFont="1" applyFill="1" applyBorder="1"/>
    <xf numFmtId="0" fontId="8" fillId="0" borderId="0" xfId="0" applyFont="1"/>
    <xf numFmtId="0" fontId="0" fillId="0" borderId="10" xfId="0" applyBorder="1"/>
    <xf numFmtId="0" fontId="0" fillId="0" borderId="5" xfId="0" applyBorder="1"/>
    <xf numFmtId="0" fontId="33" fillId="0" borderId="11" xfId="0" applyFont="1" applyBorder="1"/>
    <xf numFmtId="0" fontId="0" fillId="0" borderId="11" xfId="0" applyBorder="1"/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5" xfId="0" applyBorder="1"/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7" xfId="0" applyBorder="1" applyAlignment="1">
      <alignment horizontal="center"/>
    </xf>
    <xf numFmtId="0" fontId="21" fillId="0" borderId="0" xfId="0" applyFont="1"/>
    <xf numFmtId="0" fontId="34" fillId="0" borderId="0" xfId="0" applyFont="1"/>
    <xf numFmtId="0" fontId="12" fillId="0" borderId="0" xfId="0" applyFont="1"/>
    <xf numFmtId="0" fontId="0" fillId="0" borderId="3" xfId="0" applyBorder="1" applyAlignment="1">
      <alignment horizontal="left"/>
    </xf>
    <xf numFmtId="0" fontId="11" fillId="0" borderId="1" xfId="0" applyFont="1" applyBorder="1"/>
    <xf numFmtId="0" fontId="1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3" fontId="17" fillId="0" borderId="0" xfId="0" applyNumberFormat="1" applyFont="1"/>
    <xf numFmtId="3" fontId="10" fillId="0" borderId="0" xfId="0" applyNumberFormat="1" applyFont="1"/>
    <xf numFmtId="3" fontId="11" fillId="0" borderId="0" xfId="0" applyNumberFormat="1" applyFont="1" applyAlignment="1">
      <alignment horizontal="right"/>
    </xf>
    <xf numFmtId="3" fontId="7" fillId="0" borderId="1" xfId="0" applyNumberFormat="1" applyFont="1" applyBorder="1" applyAlignment="1">
      <alignment horizontal="center"/>
    </xf>
    <xf numFmtId="3" fontId="7" fillId="0" borderId="1" xfId="0" applyNumberFormat="1" applyFont="1" applyFill="1" applyBorder="1" applyAlignment="1">
      <alignment horizontal="center"/>
    </xf>
    <xf numFmtId="3" fontId="12" fillId="0" borderId="1" xfId="0" applyNumberFormat="1" applyFont="1" applyBorder="1"/>
    <xf numFmtId="3" fontId="7" fillId="2" borderId="1" xfId="0" applyNumberFormat="1" applyFont="1" applyFill="1" applyBorder="1"/>
    <xf numFmtId="0" fontId="11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3" fontId="11" fillId="0" borderId="0" xfId="0" applyNumberFormat="1" applyFont="1" applyAlignment="1">
      <alignment vertical="center"/>
    </xf>
    <xf numFmtId="3" fontId="18" fillId="0" borderId="0" xfId="0" applyNumberFormat="1" applyFont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3" fontId="0" fillId="0" borderId="0" xfId="0" applyNumberFormat="1" applyAlignment="1">
      <alignment vertical="center"/>
    </xf>
    <xf numFmtId="3" fontId="18" fillId="0" borderId="1" xfId="0" applyNumberFormat="1" applyFont="1" applyBorder="1" applyAlignment="1">
      <alignment vertical="center"/>
    </xf>
    <xf numFmtId="0" fontId="38" fillId="0" borderId="0" xfId="0" applyFont="1" applyAlignment="1">
      <alignment vertical="center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vertical="center"/>
    </xf>
    <xf numFmtId="0" fontId="38" fillId="0" borderId="1" xfId="0" applyFont="1" applyFill="1" applyBorder="1" applyAlignment="1">
      <alignment horizontal="center" vertical="center"/>
    </xf>
    <xf numFmtId="3" fontId="38" fillId="0" borderId="1" xfId="0" applyNumberFormat="1" applyFont="1" applyBorder="1" applyAlignment="1">
      <alignment vertical="center"/>
    </xf>
    <xf numFmtId="3" fontId="40" fillId="0" borderId="1" xfId="0" applyNumberFormat="1" applyFont="1" applyBorder="1" applyAlignment="1">
      <alignment vertical="center"/>
    </xf>
    <xf numFmtId="0" fontId="38" fillId="0" borderId="1" xfId="0" applyFont="1" applyBorder="1" applyAlignment="1">
      <alignment vertical="center" wrapText="1"/>
    </xf>
    <xf numFmtId="0" fontId="38" fillId="0" borderId="12" xfId="0" applyFont="1" applyBorder="1" applyAlignment="1">
      <alignment vertical="center" wrapText="1"/>
    </xf>
    <xf numFmtId="3" fontId="38" fillId="0" borderId="12" xfId="0" applyNumberFormat="1" applyFont="1" applyBorder="1" applyAlignment="1">
      <alignment vertical="center"/>
    </xf>
    <xf numFmtId="0" fontId="38" fillId="0" borderId="12" xfId="0" applyFont="1" applyBorder="1" applyAlignment="1">
      <alignment vertical="center"/>
    </xf>
    <xf numFmtId="0" fontId="38" fillId="0" borderId="26" xfId="0" applyFont="1" applyBorder="1" applyAlignment="1">
      <alignment vertical="center" wrapText="1"/>
    </xf>
    <xf numFmtId="3" fontId="38" fillId="0" borderId="27" xfId="0" applyNumberFormat="1" applyFont="1" applyBorder="1" applyAlignment="1">
      <alignment vertical="center"/>
    </xf>
    <xf numFmtId="3" fontId="40" fillId="0" borderId="28" xfId="0" applyNumberFormat="1" applyFont="1" applyBorder="1" applyAlignment="1">
      <alignment vertical="center"/>
    </xf>
    <xf numFmtId="0" fontId="38" fillId="0" borderId="9" xfId="0" applyFont="1" applyBorder="1" applyAlignment="1">
      <alignment vertical="center" wrapText="1"/>
    </xf>
    <xf numFmtId="3" fontId="38" fillId="0" borderId="9" xfId="0" applyNumberFormat="1" applyFont="1" applyBorder="1" applyAlignment="1">
      <alignment vertical="center"/>
    </xf>
    <xf numFmtId="0" fontId="39" fillId="0" borderId="1" xfId="0" applyFont="1" applyBorder="1" applyAlignment="1">
      <alignment vertical="center" wrapText="1"/>
    </xf>
    <xf numFmtId="3" fontId="39" fillId="0" borderId="1" xfId="0" applyNumberFormat="1" applyFont="1" applyBorder="1" applyAlignment="1">
      <alignment vertical="center"/>
    </xf>
    <xf numFmtId="0" fontId="38" fillId="0" borderId="0" xfId="0" applyFont="1" applyAlignment="1">
      <alignment vertical="center" wrapText="1"/>
    </xf>
    <xf numFmtId="3" fontId="38" fillId="0" borderId="0" xfId="0" applyNumberFormat="1" applyFont="1" applyAlignment="1">
      <alignment vertical="center"/>
    </xf>
    <xf numFmtId="0" fontId="40" fillId="0" borderId="0" xfId="0" applyFont="1" applyAlignment="1">
      <alignment vertical="center" wrapText="1"/>
    </xf>
    <xf numFmtId="3" fontId="40" fillId="0" borderId="0" xfId="0" applyNumberFormat="1" applyFont="1" applyAlignment="1">
      <alignment vertical="center"/>
    </xf>
    <xf numFmtId="0" fontId="40" fillId="0" borderId="0" xfId="0" applyFont="1" applyAlignment="1">
      <alignment vertical="center"/>
    </xf>
    <xf numFmtId="3" fontId="38" fillId="0" borderId="0" xfId="0" applyNumberFormat="1" applyFont="1" applyAlignment="1">
      <alignment horizontal="left" vertical="center"/>
    </xf>
    <xf numFmtId="0" fontId="14" fillId="0" borderId="0" xfId="29" applyAlignment="1">
      <alignment vertical="center"/>
    </xf>
    <xf numFmtId="0" fontId="13" fillId="0" borderId="34" xfId="29" applyFont="1" applyBorder="1" applyAlignment="1">
      <alignment horizontal="center" vertical="center"/>
    </xf>
    <xf numFmtId="0" fontId="19" fillId="0" borderId="35" xfId="29" applyFont="1" applyBorder="1" applyAlignment="1">
      <alignment vertical="center"/>
    </xf>
    <xf numFmtId="0" fontId="19" fillId="0" borderId="35" xfId="29" applyFont="1" applyBorder="1" applyAlignment="1">
      <alignment vertical="center" wrapText="1"/>
    </xf>
    <xf numFmtId="0" fontId="16" fillId="0" borderId="35" xfId="29" applyFont="1" applyBorder="1" applyAlignment="1">
      <alignment vertical="center"/>
    </xf>
    <xf numFmtId="0" fontId="15" fillId="0" borderId="35" xfId="29" applyFont="1" applyBorder="1" applyAlignment="1">
      <alignment vertical="center"/>
    </xf>
    <xf numFmtId="0" fontId="13" fillId="0" borderId="35" xfId="29" applyFont="1" applyBorder="1" applyAlignment="1">
      <alignment horizontal="center" vertical="center"/>
    </xf>
    <xf numFmtId="0" fontId="16" fillId="0" borderId="35" xfId="29" applyFont="1" applyBorder="1" applyAlignment="1">
      <alignment vertical="center" wrapText="1"/>
    </xf>
    <xf numFmtId="0" fontId="14" fillId="0" borderId="35" xfId="29" applyBorder="1" applyAlignment="1">
      <alignment vertical="center" wrapText="1"/>
    </xf>
    <xf numFmtId="0" fontId="0" fillId="0" borderId="36" xfId="0" applyBorder="1" applyAlignment="1">
      <alignment vertical="center"/>
    </xf>
    <xf numFmtId="0" fontId="0" fillId="0" borderId="35" xfId="0" applyBorder="1" applyAlignment="1">
      <alignment vertical="center"/>
    </xf>
    <xf numFmtId="0" fontId="7" fillId="0" borderId="35" xfId="0" applyFont="1" applyBorder="1" applyAlignment="1">
      <alignment horizontal="center" vertical="center"/>
    </xf>
    <xf numFmtId="0" fontId="11" fillId="0" borderId="35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1" xfId="0" applyFont="1" applyBorder="1" applyAlignment="1">
      <alignment vertical="center"/>
    </xf>
    <xf numFmtId="0" fontId="19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3" fontId="19" fillId="0" borderId="1" xfId="0" applyNumberFormat="1" applyFont="1" applyFill="1" applyBorder="1" applyAlignment="1">
      <alignment vertical="center"/>
    </xf>
    <xf numFmtId="3" fontId="19" fillId="0" borderId="1" xfId="0" applyNumberFormat="1" applyFont="1" applyBorder="1" applyAlignment="1">
      <alignment vertical="center"/>
    </xf>
    <xf numFmtId="0" fontId="41" fillId="0" borderId="1" xfId="0" applyFont="1" applyBorder="1" applyAlignment="1">
      <alignment vertical="center"/>
    </xf>
    <xf numFmtId="3" fontId="41" fillId="0" borderId="1" xfId="0" applyNumberFormat="1" applyFont="1" applyBorder="1" applyAlignment="1">
      <alignment vertical="center"/>
    </xf>
    <xf numFmtId="3" fontId="19" fillId="0" borderId="0" xfId="0" applyNumberFormat="1" applyFont="1" applyAlignment="1">
      <alignment vertical="center"/>
    </xf>
    <xf numFmtId="0" fontId="41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3" fontId="41" fillId="0" borderId="0" xfId="0" applyNumberFormat="1" applyFont="1" applyBorder="1" applyAlignment="1">
      <alignment vertical="center"/>
    </xf>
    <xf numFmtId="3" fontId="41" fillId="0" borderId="0" xfId="0" applyNumberFormat="1" applyFont="1" applyBorder="1" applyAlignment="1">
      <alignment horizontal="right" vertical="center"/>
    </xf>
    <xf numFmtId="3" fontId="19" fillId="0" borderId="0" xfId="0" applyNumberFormat="1" applyFont="1" applyBorder="1" applyAlignment="1">
      <alignment vertical="center"/>
    </xf>
    <xf numFmtId="0" fontId="0" fillId="0" borderId="1" xfId="0" applyFill="1" applyBorder="1"/>
    <xf numFmtId="3" fontId="18" fillId="0" borderId="0" xfId="0" applyNumberFormat="1" applyFont="1" applyBorder="1"/>
    <xf numFmtId="0" fontId="0" fillId="0" borderId="0" xfId="0" applyFont="1"/>
    <xf numFmtId="164" fontId="0" fillId="0" borderId="0" xfId="0" applyNumberFormat="1" applyBorder="1"/>
    <xf numFmtId="0" fontId="12" fillId="0" borderId="3" xfId="3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1" fillId="0" borderId="1" xfId="0" applyFont="1" applyBorder="1"/>
    <xf numFmtId="3" fontId="20" fillId="0" borderId="0" xfId="0" applyNumberFormat="1" applyFont="1" applyBorder="1"/>
    <xf numFmtId="0" fontId="11" fillId="0" borderId="0" xfId="0" applyFont="1" applyBorder="1" applyAlignment="1">
      <alignment horizontal="right"/>
    </xf>
    <xf numFmtId="0" fontId="20" fillId="0" borderId="0" xfId="0" applyFont="1" applyBorder="1" applyAlignment="1">
      <alignment horizontal="left"/>
    </xf>
    <xf numFmtId="0" fontId="7" fillId="0" borderId="8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11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0" fillId="0" borderId="1" xfId="0" applyBorder="1"/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20" fillId="0" borderId="1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left"/>
    </xf>
    <xf numFmtId="0" fontId="11" fillId="0" borderId="0" xfId="0" applyFont="1" applyAlignment="1">
      <alignment horizontal="right"/>
    </xf>
    <xf numFmtId="0" fontId="0" fillId="0" borderId="1" xfId="0" applyBorder="1"/>
    <xf numFmtId="0" fontId="7" fillId="0" borderId="12" xfId="0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 wrapText="1"/>
    </xf>
    <xf numFmtId="0" fontId="13" fillId="0" borderId="62" xfId="29" applyFont="1" applyBorder="1" applyAlignment="1">
      <alignment horizontal="center" vertical="center"/>
    </xf>
    <xf numFmtId="3" fontId="15" fillId="0" borderId="46" xfId="29" applyNumberFormat="1" applyFont="1" applyBorder="1" applyAlignment="1">
      <alignment vertical="center"/>
    </xf>
    <xf numFmtId="3" fontId="16" fillId="0" borderId="46" xfId="29" applyNumberFormat="1" applyFont="1" applyBorder="1" applyAlignment="1">
      <alignment vertical="center"/>
    </xf>
    <xf numFmtId="0" fontId="15" fillId="0" borderId="46" xfId="29" applyFont="1" applyBorder="1" applyAlignment="1">
      <alignment vertical="center"/>
    </xf>
    <xf numFmtId="3" fontId="15" fillId="0" borderId="68" xfId="29" applyNumberFormat="1" applyFont="1" applyBorder="1" applyAlignment="1">
      <alignment vertical="center"/>
    </xf>
    <xf numFmtId="3" fontId="16" fillId="0" borderId="68" xfId="29" applyNumberFormat="1" applyFont="1" applyBorder="1" applyAlignment="1">
      <alignment vertical="center"/>
    </xf>
    <xf numFmtId="0" fontId="15" fillId="0" borderId="68" xfId="29" applyFont="1" applyBorder="1" applyAlignment="1">
      <alignment vertical="center"/>
    </xf>
    <xf numFmtId="0" fontId="19" fillId="0" borderId="0" xfId="29" applyFont="1" applyAlignment="1">
      <alignment horizontal="right" vertical="center"/>
    </xf>
    <xf numFmtId="0" fontId="14" fillId="0" borderId="0" xfId="29" applyBorder="1" applyAlignment="1">
      <alignment vertical="center"/>
    </xf>
    <xf numFmtId="3" fontId="15" fillId="0" borderId="46" xfId="29" applyNumberFormat="1" applyFont="1" applyBorder="1" applyAlignment="1">
      <alignment horizontal="right" vertical="center"/>
    </xf>
    <xf numFmtId="3" fontId="16" fillId="0" borderId="46" xfId="29" applyNumberFormat="1" applyFont="1" applyBorder="1" applyAlignment="1">
      <alignment horizontal="right" vertical="center"/>
    </xf>
    <xf numFmtId="0" fontId="14" fillId="0" borderId="46" xfId="29" applyBorder="1" applyAlignment="1">
      <alignment vertical="center"/>
    </xf>
    <xf numFmtId="3" fontId="15" fillId="0" borderId="68" xfId="29" applyNumberFormat="1" applyFont="1" applyBorder="1" applyAlignment="1">
      <alignment horizontal="right" vertical="center"/>
    </xf>
    <xf numFmtId="3" fontId="16" fillId="0" borderId="68" xfId="29" applyNumberFormat="1" applyFont="1" applyBorder="1" applyAlignment="1">
      <alignment horizontal="right" vertical="center"/>
    </xf>
    <xf numFmtId="0" fontId="14" fillId="0" borderId="68" xfId="29" applyBorder="1" applyAlignment="1">
      <alignment vertical="center"/>
    </xf>
    <xf numFmtId="3" fontId="15" fillId="0" borderId="44" xfId="29" applyNumberFormat="1" applyFont="1" applyBorder="1" applyAlignment="1">
      <alignment horizontal="right" vertical="center"/>
    </xf>
    <xf numFmtId="3" fontId="16" fillId="0" borderId="44" xfId="29" applyNumberFormat="1" applyFont="1" applyBorder="1" applyAlignment="1">
      <alignment horizontal="right" vertical="center"/>
    </xf>
    <xf numFmtId="0" fontId="14" fillId="0" borderId="44" xfId="29" applyBorder="1" applyAlignment="1">
      <alignment vertical="center"/>
    </xf>
    <xf numFmtId="0" fontId="16" fillId="0" borderId="59" xfId="29" applyFont="1" applyBorder="1" applyAlignment="1">
      <alignment horizontal="center" vertical="center" wrapText="1"/>
    </xf>
    <xf numFmtId="0" fontId="16" fillId="0" borderId="67" xfId="29" applyFont="1" applyBorder="1" applyAlignment="1">
      <alignment horizontal="center" vertical="center" wrapText="1"/>
    </xf>
    <xf numFmtId="0" fontId="19" fillId="0" borderId="0" xfId="29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46" xfId="0" applyBorder="1" applyAlignment="1">
      <alignment vertical="center"/>
    </xf>
    <xf numFmtId="3" fontId="15" fillId="0" borderId="77" xfId="29" applyNumberFormat="1" applyFont="1" applyBorder="1" applyAlignment="1">
      <alignment horizontal="right" vertical="center"/>
    </xf>
    <xf numFmtId="0" fontId="0" fillId="0" borderId="68" xfId="0" applyBorder="1" applyAlignment="1">
      <alignment vertical="center"/>
    </xf>
    <xf numFmtId="3" fontId="15" fillId="0" borderId="73" xfId="29" applyNumberFormat="1" applyFont="1" applyBorder="1" applyAlignment="1">
      <alignment horizontal="right" vertical="center"/>
    </xf>
    <xf numFmtId="0" fontId="0" fillId="0" borderId="44" xfId="0" applyBorder="1" applyAlignment="1">
      <alignment vertical="center"/>
    </xf>
    <xf numFmtId="3" fontId="15" fillId="0" borderId="78" xfId="29" applyNumberFormat="1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8" fillId="0" borderId="1" xfId="0" applyFont="1" applyBorder="1" applyAlignment="1">
      <alignment horizontal="center" vertical="center" wrapText="1"/>
    </xf>
    <xf numFmtId="3" fontId="39" fillId="0" borderId="9" xfId="0" applyNumberFormat="1" applyFont="1" applyBorder="1" applyAlignment="1">
      <alignment vertical="center"/>
    </xf>
    <xf numFmtId="0" fontId="20" fillId="0" borderId="0" xfId="0" applyFont="1" applyBorder="1" applyAlignment="1">
      <alignment horizontal="center"/>
    </xf>
    <xf numFmtId="0" fontId="0" fillId="0" borderId="0" xfId="0" applyAlignment="1"/>
    <xf numFmtId="0" fontId="1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1" fillId="0" borderId="1" xfId="0" applyFont="1" applyBorder="1"/>
    <xf numFmtId="0" fontId="0" fillId="0" borderId="0" xfId="0" applyAlignment="1">
      <alignment vertical="center"/>
    </xf>
    <xf numFmtId="0" fontId="13" fillId="0" borderId="63" xfId="29" applyFont="1" applyBorder="1" applyAlignment="1">
      <alignment horizontal="center" vertical="center" wrapText="1"/>
    </xf>
    <xf numFmtId="0" fontId="0" fillId="0" borderId="63" xfId="0" applyBorder="1" applyAlignment="1">
      <alignment vertical="center" wrapText="1"/>
    </xf>
    <xf numFmtId="0" fontId="13" fillId="0" borderId="0" xfId="29" applyFont="1" applyAlignment="1">
      <alignment horizontal="center" vertical="center"/>
    </xf>
    <xf numFmtId="0" fontId="0" fillId="0" borderId="1" xfId="0" applyBorder="1"/>
    <xf numFmtId="0" fontId="13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/>
    </xf>
    <xf numFmtId="14" fontId="7" fillId="0" borderId="0" xfId="0" applyNumberFormat="1" applyFont="1" applyAlignment="1"/>
    <xf numFmtId="14" fontId="20" fillId="0" borderId="0" xfId="0" applyNumberFormat="1" applyFont="1" applyAlignment="1">
      <alignment horizontal="center"/>
    </xf>
    <xf numFmtId="14" fontId="20" fillId="0" borderId="0" xfId="0" applyNumberFormat="1" applyFont="1" applyAlignment="1">
      <alignment horizontal="right"/>
    </xf>
    <xf numFmtId="14" fontId="18" fillId="0" borderId="0" xfId="0" applyNumberFormat="1" applyFont="1" applyAlignment="1">
      <alignment horizontal="centerContinuous"/>
    </xf>
    <xf numFmtId="14" fontId="18" fillId="0" borderId="0" xfId="0" applyNumberFormat="1" applyFont="1" applyAlignment="1">
      <alignment horizontal="center"/>
    </xf>
    <xf numFmtId="14" fontId="18" fillId="0" borderId="0" xfId="0" applyNumberFormat="1" applyFont="1" applyAlignment="1">
      <alignment horizontal="left"/>
    </xf>
    <xf numFmtId="14" fontId="18" fillId="0" borderId="0" xfId="0" applyNumberFormat="1" applyFont="1" applyAlignment="1">
      <alignment horizontal="right"/>
    </xf>
    <xf numFmtId="0" fontId="22" fillId="0" borderId="1" xfId="0" applyFont="1" applyBorder="1" applyAlignment="1">
      <alignment horizontal="center" wrapText="1"/>
    </xf>
    <xf numFmtId="164" fontId="0" fillId="0" borderId="0" xfId="0" applyNumberFormat="1"/>
    <xf numFmtId="14" fontId="13" fillId="0" borderId="0" xfId="0" applyNumberFormat="1" applyFont="1" applyAlignment="1">
      <alignment horizontal="center" vertical="center"/>
    </xf>
    <xf numFmtId="14" fontId="13" fillId="0" borderId="0" xfId="29" applyNumberFormat="1" applyFont="1" applyAlignment="1">
      <alignment horizontal="right" vertical="center"/>
    </xf>
    <xf numFmtId="14" fontId="13" fillId="0" borderId="63" xfId="29" applyNumberFormat="1" applyFont="1" applyBorder="1" applyAlignment="1">
      <alignment horizontal="center" vertical="center" wrapText="1"/>
    </xf>
    <xf numFmtId="3" fontId="38" fillId="0" borderId="1" xfId="0" applyNumberFormat="1" applyFont="1" applyFill="1" applyBorder="1" applyAlignment="1">
      <alignment vertical="center"/>
    </xf>
    <xf numFmtId="0" fontId="52" fillId="0" borderId="0" xfId="0" applyFont="1" applyFill="1" applyAlignment="1">
      <alignment horizontal="center" vertical="center"/>
    </xf>
    <xf numFmtId="0" fontId="0" fillId="0" borderId="3" xfId="0" applyBorder="1" applyAlignment="1">
      <alignment horizontal="left"/>
    </xf>
    <xf numFmtId="0" fontId="11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1" fillId="0" borderId="1" xfId="0" applyFont="1" applyBorder="1"/>
    <xf numFmtId="0" fontId="52" fillId="0" borderId="0" xfId="0" applyFont="1" applyAlignment="1">
      <alignment horizontal="center" vertical="center"/>
    </xf>
    <xf numFmtId="0" fontId="7" fillId="0" borderId="63" xfId="0" applyFont="1" applyBorder="1" applyAlignment="1">
      <alignment horizontal="center" vertical="center" wrapText="1"/>
    </xf>
    <xf numFmtId="0" fontId="0" fillId="0" borderId="63" xfId="0" applyBorder="1" applyAlignment="1">
      <alignment vertical="center"/>
    </xf>
    <xf numFmtId="0" fontId="0" fillId="0" borderId="1" xfId="0" applyBorder="1"/>
    <xf numFmtId="3" fontId="0" fillId="0" borderId="1" xfId="0" applyNumberFormat="1" applyFill="1" applyBorder="1"/>
    <xf numFmtId="14" fontId="45" fillId="0" borderId="37" xfId="2" applyNumberFormat="1" applyFont="1" applyBorder="1" applyAlignment="1">
      <alignment horizontal="center" vertical="center" wrapText="1"/>
    </xf>
    <xf numFmtId="14" fontId="19" fillId="0" borderId="37" xfId="2" applyNumberFormat="1" applyFont="1" applyBorder="1" applyAlignment="1">
      <alignment horizontal="center" vertical="center" wrapText="1"/>
    </xf>
    <xf numFmtId="3" fontId="19" fillId="0" borderId="37" xfId="2" applyNumberFormat="1" applyFont="1" applyBorder="1" applyAlignment="1">
      <alignment horizontal="center" vertical="center" wrapText="1"/>
    </xf>
    <xf numFmtId="3" fontId="45" fillId="0" borderId="37" xfId="2" applyNumberFormat="1" applyFont="1" applyBorder="1" applyAlignment="1">
      <alignment horizontal="center" vertical="center" wrapText="1"/>
    </xf>
    <xf numFmtId="0" fontId="45" fillId="0" borderId="37" xfId="2" applyFont="1" applyBorder="1" applyAlignment="1">
      <alignment horizontal="center" vertical="center" wrapText="1"/>
    </xf>
    <xf numFmtId="1" fontId="19" fillId="0" borderId="38" xfId="2" applyNumberFormat="1" applyFont="1" applyBorder="1" applyAlignment="1">
      <alignment horizontal="center" vertical="center" wrapText="1"/>
    </xf>
    <xf numFmtId="3" fontId="41" fillId="0" borderId="38" xfId="2" applyNumberFormat="1" applyFont="1" applyBorder="1" applyAlignment="1">
      <alignment vertical="center" wrapText="1"/>
    </xf>
    <xf numFmtId="0" fontId="32" fillId="0" borderId="51" xfId="2" applyFont="1" applyBorder="1" applyAlignment="1">
      <alignment vertical="center" wrapText="1"/>
    </xf>
    <xf numFmtId="0" fontId="32" fillId="0" borderId="0" xfId="2" applyFont="1"/>
    <xf numFmtId="0" fontId="3" fillId="0" borderId="0" xfId="2" applyFont="1"/>
    <xf numFmtId="14" fontId="45" fillId="0" borderId="41" xfId="2" applyNumberFormat="1" applyFont="1" applyBorder="1" applyAlignment="1">
      <alignment vertical="center"/>
    </xf>
    <xf numFmtId="14" fontId="19" fillId="0" borderId="41" xfId="2" applyNumberFormat="1" applyFont="1" applyBorder="1" applyAlignment="1">
      <alignment vertical="center"/>
    </xf>
    <xf numFmtId="3" fontId="19" fillId="0" borderId="41" xfId="2" applyNumberFormat="1" applyFont="1" applyBorder="1" applyAlignment="1">
      <alignment vertical="center"/>
    </xf>
    <xf numFmtId="168" fontId="19" fillId="0" borderId="41" xfId="2" applyNumberFormat="1" applyFont="1" applyBorder="1" applyAlignment="1">
      <alignment vertical="center" wrapText="1"/>
    </xf>
    <xf numFmtId="10" fontId="45" fillId="0" borderId="41" xfId="2" applyNumberFormat="1" applyFont="1" applyBorder="1" applyAlignment="1">
      <alignment vertical="center" wrapText="1"/>
    </xf>
    <xf numFmtId="14" fontId="45" fillId="0" borderId="41" xfId="2" applyNumberFormat="1" applyFont="1" applyBorder="1" applyAlignment="1">
      <alignment vertical="center" wrapText="1"/>
    </xf>
    <xf numFmtId="1" fontId="19" fillId="0" borderId="79" xfId="2" applyNumberFormat="1" applyFont="1" applyBorder="1" applyAlignment="1">
      <alignment vertical="center"/>
    </xf>
    <xf numFmtId="166" fontId="32" fillId="0" borderId="79" xfId="2" applyNumberFormat="1" applyFont="1" applyBorder="1" applyAlignment="1">
      <alignment vertical="center" wrapText="1"/>
    </xf>
    <xf numFmtId="4" fontId="19" fillId="0" borderId="41" xfId="2" applyNumberFormat="1" applyFont="1" applyBorder="1" applyAlignment="1">
      <alignment vertical="center"/>
    </xf>
    <xf numFmtId="0" fontId="49" fillId="0" borderId="0" xfId="2" applyFont="1"/>
    <xf numFmtId="0" fontId="28" fillId="0" borderId="0" xfId="2" applyFont="1"/>
    <xf numFmtId="14" fontId="45" fillId="0" borderId="47" xfId="2" applyNumberFormat="1" applyFont="1" applyBorder="1" applyAlignment="1">
      <alignment vertical="center"/>
    </xf>
    <xf numFmtId="14" fontId="19" fillId="0" borderId="47" xfId="2" applyNumberFormat="1" applyFont="1" applyBorder="1" applyAlignment="1">
      <alignment vertical="center"/>
    </xf>
    <xf numFmtId="3" fontId="19" fillId="0" borderId="47" xfId="2" applyNumberFormat="1" applyFont="1" applyBorder="1" applyAlignment="1">
      <alignment vertical="center"/>
    </xf>
    <xf numFmtId="168" fontId="19" fillId="0" borderId="47" xfId="2" applyNumberFormat="1" applyFont="1" applyBorder="1" applyAlignment="1">
      <alignment vertical="center" wrapText="1"/>
    </xf>
    <xf numFmtId="10" fontId="45" fillId="0" borderId="47" xfId="2" applyNumberFormat="1" applyFont="1" applyBorder="1" applyAlignment="1">
      <alignment vertical="center" wrapText="1"/>
    </xf>
    <xf numFmtId="14" fontId="45" fillId="0" borderId="47" xfId="2" applyNumberFormat="1" applyFont="1" applyBorder="1" applyAlignment="1">
      <alignment vertical="center" wrapText="1"/>
    </xf>
    <xf numFmtId="166" fontId="32" fillId="0" borderId="59" xfId="2" applyNumberFormat="1" applyFont="1" applyBorder="1" applyAlignment="1">
      <alignment vertical="center" wrapText="1"/>
    </xf>
    <xf numFmtId="1" fontId="19" fillId="0" borderId="59" xfId="2" applyNumberFormat="1" applyFont="1" applyBorder="1" applyAlignment="1">
      <alignment vertical="center"/>
    </xf>
    <xf numFmtId="4" fontId="19" fillId="0" borderId="47" xfId="2" applyNumberFormat="1" applyFont="1" applyBorder="1" applyAlignment="1">
      <alignment vertical="center"/>
    </xf>
    <xf numFmtId="3" fontId="41" fillId="0" borderId="48" xfId="2" applyNumberFormat="1" applyFont="1" applyBorder="1" applyAlignment="1">
      <alignment vertical="center"/>
    </xf>
    <xf numFmtId="167" fontId="47" fillId="0" borderId="48" xfId="2" applyNumberFormat="1" applyFont="1" applyBorder="1" applyAlignment="1">
      <alignment vertical="center" wrapText="1"/>
    </xf>
    <xf numFmtId="10" fontId="47" fillId="0" borderId="48" xfId="2" applyNumberFormat="1" applyFont="1" applyBorder="1" applyAlignment="1">
      <alignment vertical="center" wrapText="1"/>
    </xf>
    <xf numFmtId="14" fontId="47" fillId="0" borderId="48" xfId="2" applyNumberFormat="1" applyFont="1" applyBorder="1" applyAlignment="1">
      <alignment vertical="center" wrapText="1"/>
    </xf>
    <xf numFmtId="14" fontId="41" fillId="0" borderId="48" xfId="2" applyNumberFormat="1" applyFont="1" applyBorder="1" applyAlignment="1">
      <alignment vertical="center"/>
    </xf>
    <xf numFmtId="14" fontId="41" fillId="0" borderId="50" xfId="2" applyNumberFormat="1" applyFont="1" applyBorder="1" applyAlignment="1">
      <alignment vertical="center"/>
    </xf>
    <xf numFmtId="1" fontId="41" fillId="0" borderId="49" xfId="2" applyNumberFormat="1" applyFont="1" applyBorder="1" applyAlignment="1">
      <alignment vertical="center"/>
    </xf>
    <xf numFmtId="166" fontId="32" fillId="0" borderId="48" xfId="2" applyNumberFormat="1" applyFont="1" applyBorder="1" applyAlignment="1">
      <alignment vertical="center" wrapText="1"/>
    </xf>
    <xf numFmtId="3" fontId="41" fillId="0" borderId="48" xfId="2" applyNumberFormat="1" applyFont="1" applyBorder="1" applyAlignment="1">
      <alignment vertical="center" wrapText="1"/>
    </xf>
    <xf numFmtId="3" fontId="49" fillId="0" borderId="0" xfId="2" applyNumberFormat="1" applyFont="1"/>
    <xf numFmtId="14" fontId="45" fillId="0" borderId="44" xfId="2" applyNumberFormat="1" applyFont="1" applyBorder="1" applyAlignment="1">
      <alignment vertical="center"/>
    </xf>
    <xf numFmtId="0" fontId="11" fillId="0" borderId="42" xfId="2" applyFont="1" applyBorder="1" applyAlignment="1">
      <alignment vertical="center"/>
    </xf>
    <xf numFmtId="3" fontId="19" fillId="0" borderId="44" xfId="2" applyNumberFormat="1" applyFont="1" applyBorder="1" applyAlignment="1">
      <alignment vertical="center"/>
    </xf>
    <xf numFmtId="3" fontId="45" fillId="0" borderId="44" xfId="2" applyNumberFormat="1" applyFont="1" applyBorder="1" applyAlignment="1">
      <alignment vertical="center" wrapText="1"/>
    </xf>
    <xf numFmtId="10" fontId="45" fillId="0" borderId="44" xfId="2" applyNumberFormat="1" applyFont="1" applyBorder="1" applyAlignment="1">
      <alignment horizontal="center" vertical="center"/>
    </xf>
    <xf numFmtId="14" fontId="45" fillId="0" borderId="44" xfId="2" applyNumberFormat="1" applyFont="1" applyBorder="1" applyAlignment="1">
      <alignment vertical="center" wrapText="1"/>
    </xf>
    <xf numFmtId="14" fontId="47" fillId="0" borderId="44" xfId="2" applyNumberFormat="1" applyFont="1" applyBorder="1" applyAlignment="1">
      <alignment vertical="center" wrapText="1"/>
    </xf>
    <xf numFmtId="14" fontId="19" fillId="0" borderId="44" xfId="2" applyNumberFormat="1" applyFont="1" applyBorder="1" applyAlignment="1">
      <alignment vertical="center"/>
    </xf>
    <xf numFmtId="1" fontId="19" fillId="0" borderId="46" xfId="2" applyNumberFormat="1" applyFont="1" applyBorder="1" applyAlignment="1">
      <alignment vertical="center"/>
    </xf>
    <xf numFmtId="14" fontId="45" fillId="0" borderId="42" xfId="2" applyNumberFormat="1" applyFont="1" applyBorder="1" applyAlignment="1">
      <alignment vertical="center"/>
    </xf>
    <xf numFmtId="3" fontId="19" fillId="0" borderId="42" xfId="2" applyNumberFormat="1" applyFont="1" applyBorder="1" applyAlignment="1">
      <alignment vertical="center"/>
    </xf>
    <xf numFmtId="3" fontId="45" fillId="0" borderId="42" xfId="2" applyNumberFormat="1" applyFont="1" applyBorder="1" applyAlignment="1">
      <alignment vertical="center" wrapText="1"/>
    </xf>
    <xf numFmtId="14" fontId="45" fillId="0" borderId="42" xfId="2" applyNumberFormat="1" applyFont="1" applyBorder="1" applyAlignment="1">
      <alignment vertical="center" wrapText="1"/>
    </xf>
    <xf numFmtId="14" fontId="19" fillId="0" borderId="42" xfId="2" applyNumberFormat="1" applyFont="1" applyBorder="1" applyAlignment="1">
      <alignment vertical="center"/>
    </xf>
    <xf numFmtId="3" fontId="19" fillId="0" borderId="42" xfId="2" applyNumberFormat="1" applyFont="1" applyFill="1" applyBorder="1" applyAlignment="1">
      <alignment vertical="center"/>
    </xf>
    <xf numFmtId="1" fontId="19" fillId="0" borderId="43" xfId="2" applyNumberFormat="1" applyFont="1" applyBorder="1" applyAlignment="1">
      <alignment vertical="center"/>
    </xf>
    <xf numFmtId="14" fontId="42" fillId="0" borderId="42" xfId="2" applyNumberFormat="1" applyFont="1" applyBorder="1" applyAlignment="1">
      <alignment vertical="center"/>
    </xf>
    <xf numFmtId="0" fontId="18" fillId="0" borderId="41" xfId="2" applyFont="1" applyBorder="1" applyAlignment="1">
      <alignment vertical="center"/>
    </xf>
    <xf numFmtId="3" fontId="41" fillId="0" borderId="39" xfId="2" applyNumberFormat="1" applyFont="1" applyBorder="1" applyAlignment="1">
      <alignment vertical="center"/>
    </xf>
    <xf numFmtId="3" fontId="47" fillId="0" borderId="39" xfId="2" applyNumberFormat="1" applyFont="1" applyBorder="1" applyAlignment="1">
      <alignment vertical="center" wrapText="1"/>
    </xf>
    <xf numFmtId="10" fontId="47" fillId="0" borderId="39" xfId="2" applyNumberFormat="1" applyFont="1" applyBorder="1" applyAlignment="1">
      <alignment horizontal="center" vertical="center"/>
    </xf>
    <xf numFmtId="14" fontId="47" fillId="0" borderId="39" xfId="2" applyNumberFormat="1" applyFont="1" applyBorder="1" applyAlignment="1">
      <alignment vertical="center" wrapText="1"/>
    </xf>
    <xf numFmtId="14" fontId="41" fillId="0" borderId="39" xfId="2" applyNumberFormat="1" applyFont="1" applyBorder="1" applyAlignment="1">
      <alignment vertical="center"/>
    </xf>
    <xf numFmtId="3" fontId="19" fillId="0" borderId="39" xfId="2" applyNumberFormat="1" applyFont="1" applyFill="1" applyBorder="1" applyAlignment="1">
      <alignment vertical="center"/>
    </xf>
    <xf numFmtId="1" fontId="41" fillId="0" borderId="40" xfId="2" applyNumberFormat="1" applyFont="1" applyBorder="1" applyAlignment="1">
      <alignment vertical="center"/>
    </xf>
    <xf numFmtId="14" fontId="47" fillId="0" borderId="37" xfId="2" applyNumberFormat="1" applyFont="1" applyBorder="1" applyAlignment="1">
      <alignment vertical="center"/>
    </xf>
    <xf numFmtId="0" fontId="18" fillId="0" borderId="37" xfId="2" applyFont="1" applyBorder="1" applyAlignment="1">
      <alignment vertical="center"/>
    </xf>
    <xf numFmtId="3" fontId="41" fillId="0" borderId="37" xfId="2" applyNumberFormat="1" applyFont="1" applyBorder="1" applyAlignment="1">
      <alignment vertical="center"/>
    </xf>
    <xf numFmtId="3" fontId="47" fillId="0" borderId="37" xfId="2" applyNumberFormat="1" applyFont="1" applyBorder="1" applyAlignment="1">
      <alignment vertical="center" wrapText="1"/>
    </xf>
    <xf numFmtId="10" fontId="47" fillId="0" borderId="37" xfId="2" applyNumberFormat="1" applyFont="1" applyBorder="1" applyAlignment="1">
      <alignment horizontal="center" vertical="center"/>
    </xf>
    <xf numFmtId="14" fontId="41" fillId="0" borderId="37" xfId="2" applyNumberFormat="1" applyFont="1" applyBorder="1" applyAlignment="1">
      <alignment vertical="center"/>
    </xf>
    <xf numFmtId="14" fontId="47" fillId="0" borderId="37" xfId="2" applyNumberFormat="1" applyFont="1" applyBorder="1" applyAlignment="1">
      <alignment vertical="center" wrapText="1"/>
    </xf>
    <xf numFmtId="3" fontId="19" fillId="0" borderId="37" xfId="2" applyNumberFormat="1" applyFont="1" applyFill="1" applyBorder="1" applyAlignment="1">
      <alignment vertical="center"/>
    </xf>
    <xf numFmtId="1" fontId="41" fillId="0" borderId="38" xfId="2" applyNumberFormat="1" applyFont="1" applyBorder="1" applyAlignment="1">
      <alignment vertical="center"/>
    </xf>
    <xf numFmtId="3" fontId="46" fillId="0" borderId="37" xfId="2" applyNumberFormat="1" applyFont="1" applyBorder="1" applyAlignment="1">
      <alignment vertical="center"/>
    </xf>
    <xf numFmtId="3" fontId="45" fillId="0" borderId="37" xfId="2" applyNumberFormat="1" applyFont="1" applyBorder="1" applyAlignment="1">
      <alignment vertical="center"/>
    </xf>
    <xf numFmtId="3" fontId="32" fillId="0" borderId="0" xfId="2" applyNumberFormat="1" applyFont="1"/>
    <xf numFmtId="0" fontId="11" fillId="0" borderId="0" xfId="2" applyFont="1" applyFill="1" applyBorder="1" applyAlignment="1">
      <alignment vertical="center"/>
    </xf>
    <xf numFmtId="3" fontId="37" fillId="0" borderId="0" xfId="2" applyNumberFormat="1" applyFont="1"/>
    <xf numFmtId="3" fontId="44" fillId="0" borderId="0" xfId="2" applyNumberFormat="1" applyFont="1"/>
    <xf numFmtId="3" fontId="19" fillId="0" borderId="0" xfId="2" applyNumberFormat="1" applyFont="1" applyBorder="1" applyAlignment="1">
      <alignment vertical="center"/>
    </xf>
    <xf numFmtId="0" fontId="44" fillId="0" borderId="0" xfId="2" applyFont="1"/>
    <xf numFmtId="10" fontId="3" fillId="0" borderId="0" xfId="2" applyNumberFormat="1" applyFont="1"/>
    <xf numFmtId="14" fontId="32" fillId="0" borderId="3" xfId="3" applyNumberFormat="1" applyFont="1" applyFill="1" applyBorder="1" applyAlignment="1">
      <alignment vertical="center"/>
    </xf>
    <xf numFmtId="14" fontId="19" fillId="0" borderId="50" xfId="3" applyNumberFormat="1" applyFont="1" applyFill="1" applyBorder="1" applyAlignment="1">
      <alignment horizontal="center" vertical="center" wrapText="1"/>
    </xf>
    <xf numFmtId="3" fontId="19" fillId="0" borderId="48" xfId="3" applyNumberFormat="1" applyFont="1" applyFill="1" applyBorder="1" applyAlignment="1">
      <alignment horizontal="center" vertical="center" wrapText="1"/>
    </xf>
    <xf numFmtId="0" fontId="19" fillId="0" borderId="48" xfId="3" applyFont="1" applyFill="1" applyBorder="1" applyAlignment="1">
      <alignment horizontal="center" vertical="center"/>
    </xf>
    <xf numFmtId="0" fontId="19" fillId="0" borderId="48" xfId="3" applyFont="1" applyFill="1" applyBorder="1" applyAlignment="1">
      <alignment horizontal="center" vertical="center" wrapText="1"/>
    </xf>
    <xf numFmtId="14" fontId="45" fillId="0" borderId="48" xfId="3" applyNumberFormat="1" applyFont="1" applyFill="1" applyBorder="1" applyAlignment="1">
      <alignment horizontal="center" vertical="center" wrapText="1"/>
    </xf>
    <xf numFmtId="1" fontId="19" fillId="0" borderId="49" xfId="3" applyNumberFormat="1" applyFont="1" applyFill="1" applyBorder="1" applyAlignment="1">
      <alignment horizontal="center" vertical="center" wrapText="1"/>
    </xf>
    <xf numFmtId="3" fontId="19" fillId="0" borderId="52" xfId="3" applyNumberFormat="1" applyFont="1" applyFill="1" applyBorder="1" applyAlignment="1">
      <alignment vertical="center"/>
    </xf>
    <xf numFmtId="0" fontId="3" fillId="0" borderId="0" xfId="3" applyFont="1" applyFill="1" applyAlignment="1">
      <alignment vertical="center"/>
    </xf>
    <xf numFmtId="14" fontId="32" fillId="0" borderId="53" xfId="3" applyNumberFormat="1" applyFont="1" applyFill="1" applyBorder="1" applyAlignment="1">
      <alignment vertical="center"/>
    </xf>
    <xf numFmtId="14" fontId="19" fillId="0" borderId="54" xfId="3" applyNumberFormat="1" applyFont="1" applyFill="1" applyBorder="1" applyAlignment="1">
      <alignment vertical="center"/>
    </xf>
    <xf numFmtId="3" fontId="19" fillId="0" borderId="39" xfId="3" applyNumberFormat="1" applyFont="1" applyFill="1" applyBorder="1" applyAlignment="1">
      <alignment vertical="center"/>
    </xf>
    <xf numFmtId="168" fontId="19" fillId="0" borderId="39" xfId="3" applyNumberFormat="1" applyFont="1" applyFill="1" applyBorder="1" applyAlignment="1">
      <alignment vertical="center" wrapText="1"/>
    </xf>
    <xf numFmtId="14" fontId="45" fillId="0" borderId="39" xfId="3" applyNumberFormat="1" applyFont="1" applyFill="1" applyBorder="1" applyAlignment="1">
      <alignment horizontal="left" vertical="center" wrapText="1"/>
    </xf>
    <xf numFmtId="10" fontId="19" fillId="0" borderId="39" xfId="3" applyNumberFormat="1" applyFont="1" applyFill="1" applyBorder="1" applyAlignment="1">
      <alignment vertical="center"/>
    </xf>
    <xf numFmtId="14" fontId="19" fillId="0" borderId="39" xfId="3" applyNumberFormat="1" applyFont="1" applyFill="1" applyBorder="1" applyAlignment="1">
      <alignment vertical="center" wrapText="1"/>
    </xf>
    <xf numFmtId="14" fontId="19" fillId="0" borderId="39" xfId="3" applyNumberFormat="1" applyFont="1" applyFill="1" applyBorder="1" applyAlignment="1">
      <alignment vertical="center"/>
    </xf>
    <xf numFmtId="14" fontId="45" fillId="0" borderId="44" xfId="3" applyNumberFormat="1" applyFont="1" applyFill="1" applyBorder="1" applyAlignment="1">
      <alignment vertical="center" wrapText="1"/>
    </xf>
    <xf numFmtId="3" fontId="19" fillId="0" borderId="47" xfId="3" applyNumberFormat="1" applyFont="1" applyFill="1" applyBorder="1" applyAlignment="1">
      <alignment vertical="center"/>
    </xf>
    <xf numFmtId="1" fontId="19" fillId="0" borderId="39" xfId="3" applyNumberFormat="1" applyFont="1" applyFill="1" applyBorder="1" applyAlignment="1">
      <alignment vertical="center"/>
    </xf>
    <xf numFmtId="14" fontId="45" fillId="0" borderId="55" xfId="3" applyNumberFormat="1" applyFont="1" applyFill="1" applyBorder="1" applyAlignment="1">
      <alignment vertical="center" wrapText="1"/>
    </xf>
    <xf numFmtId="14" fontId="32" fillId="0" borderId="56" xfId="3" applyNumberFormat="1" applyFont="1" applyFill="1" applyBorder="1" applyAlignment="1">
      <alignment vertical="center"/>
    </xf>
    <xf numFmtId="14" fontId="19" fillId="0" borderId="45" xfId="3" applyNumberFormat="1" applyFont="1" applyFill="1" applyBorder="1" applyAlignment="1">
      <alignment vertical="center" wrapText="1" shrinkToFit="1"/>
    </xf>
    <xf numFmtId="3" fontId="19" fillId="0" borderId="44" xfId="3" applyNumberFormat="1" applyFont="1" applyFill="1" applyBorder="1" applyAlignment="1">
      <alignment vertical="center"/>
    </xf>
    <xf numFmtId="3" fontId="45" fillId="0" borderId="44" xfId="3" applyNumberFormat="1" applyFont="1" applyFill="1" applyBorder="1" applyAlignment="1">
      <alignment vertical="center" wrapText="1"/>
    </xf>
    <xf numFmtId="164" fontId="45" fillId="0" borderId="44" xfId="3" applyNumberFormat="1" applyFont="1" applyFill="1" applyBorder="1" applyAlignment="1">
      <alignment horizontal="left" vertical="center"/>
    </xf>
    <xf numFmtId="10" fontId="19" fillId="0" borderId="44" xfId="3" applyNumberFormat="1" applyFont="1" applyFill="1" applyBorder="1" applyAlignment="1">
      <alignment vertical="center"/>
    </xf>
    <xf numFmtId="14" fontId="19" fillId="0" borderId="44" xfId="3" applyNumberFormat="1" applyFont="1" applyFill="1" applyBorder="1" applyAlignment="1">
      <alignment vertical="center" wrapText="1"/>
    </xf>
    <xf numFmtId="14" fontId="19" fillId="0" borderId="44" xfId="3" applyNumberFormat="1" applyFont="1" applyFill="1" applyBorder="1" applyAlignment="1">
      <alignment vertical="center"/>
    </xf>
    <xf numFmtId="1" fontId="19" fillId="0" borderId="44" xfId="3" applyNumberFormat="1" applyFont="1" applyFill="1" applyBorder="1" applyAlignment="1">
      <alignment vertical="center"/>
    </xf>
    <xf numFmtId="0" fontId="11" fillId="0" borderId="45" xfId="3" applyFont="1" applyFill="1" applyBorder="1" applyAlignment="1">
      <alignment vertical="center"/>
    </xf>
    <xf numFmtId="10" fontId="45" fillId="0" borderId="44" xfId="3" applyNumberFormat="1" applyFont="1" applyFill="1" applyBorder="1" applyAlignment="1">
      <alignment horizontal="left" vertical="center"/>
    </xf>
    <xf numFmtId="9" fontId="45" fillId="0" borderId="44" xfId="3" applyNumberFormat="1" applyFont="1" applyFill="1" applyBorder="1" applyAlignment="1">
      <alignment horizontal="center" vertical="center"/>
    </xf>
    <xf numFmtId="14" fontId="47" fillId="0" borderId="44" xfId="3" applyNumberFormat="1" applyFont="1" applyFill="1" applyBorder="1" applyAlignment="1">
      <alignment vertical="center" wrapText="1"/>
    </xf>
    <xf numFmtId="9" fontId="45" fillId="0" borderId="44" xfId="3" applyNumberFormat="1" applyFont="1" applyFill="1" applyBorder="1" applyAlignment="1">
      <alignment horizontal="left" vertical="center"/>
    </xf>
    <xf numFmtId="14" fontId="48" fillId="0" borderId="44" xfId="3" applyNumberFormat="1" applyFont="1" applyFill="1" applyBorder="1" applyAlignment="1">
      <alignment vertical="center" wrapText="1"/>
    </xf>
    <xf numFmtId="9" fontId="50" fillId="0" borderId="44" xfId="3" applyNumberFormat="1" applyFont="1" applyFill="1" applyBorder="1" applyAlignment="1">
      <alignment horizontal="left" vertical="center"/>
    </xf>
    <xf numFmtId="0" fontId="11" fillId="0" borderId="57" xfId="3" applyFont="1" applyFill="1" applyBorder="1" applyAlignment="1">
      <alignment vertical="center"/>
    </xf>
    <xf numFmtId="3" fontId="45" fillId="0" borderId="42" xfId="3" applyNumberFormat="1" applyFont="1" applyFill="1" applyBorder="1" applyAlignment="1">
      <alignment vertical="center" wrapText="1"/>
    </xf>
    <xf numFmtId="10" fontId="19" fillId="0" borderId="42" xfId="3" applyNumberFormat="1" applyFont="1" applyFill="1" applyBorder="1" applyAlignment="1">
      <alignment vertical="center"/>
    </xf>
    <xf numFmtId="14" fontId="19" fillId="0" borderId="42" xfId="3" applyNumberFormat="1" applyFont="1" applyFill="1" applyBorder="1" applyAlignment="1">
      <alignment vertical="center" wrapText="1"/>
    </xf>
    <xf numFmtId="14" fontId="19" fillId="0" borderId="42" xfId="3" applyNumberFormat="1" applyFont="1" applyFill="1" applyBorder="1" applyAlignment="1">
      <alignment vertical="center"/>
    </xf>
    <xf numFmtId="0" fontId="28" fillId="0" borderId="0" xfId="3" applyFont="1" applyFill="1" applyAlignment="1">
      <alignment vertical="center"/>
    </xf>
    <xf numFmtId="14" fontId="42" fillId="0" borderId="44" xfId="3" applyNumberFormat="1" applyFont="1" applyFill="1" applyBorder="1" applyAlignment="1">
      <alignment vertical="center"/>
    </xf>
    <xf numFmtId="14" fontId="32" fillId="3" borderId="56" xfId="3" applyNumberFormat="1" applyFont="1" applyFill="1" applyBorder="1" applyAlignment="1">
      <alignment vertical="center"/>
    </xf>
    <xf numFmtId="0" fontId="11" fillId="3" borderId="45" xfId="3" applyFont="1" applyFill="1" applyBorder="1" applyAlignment="1">
      <alignment vertical="center"/>
    </xf>
    <xf numFmtId="3" fontId="19" fillId="3" borderId="44" xfId="3" applyNumberFormat="1" applyFont="1" applyFill="1" applyBorder="1" applyAlignment="1">
      <alignment vertical="center"/>
    </xf>
    <xf numFmtId="3" fontId="47" fillId="3" borderId="44" xfId="3" applyNumberFormat="1" applyFont="1" applyFill="1" applyBorder="1" applyAlignment="1">
      <alignment vertical="center" wrapText="1"/>
    </xf>
    <xf numFmtId="9" fontId="45" fillId="3" borderId="44" xfId="3" applyNumberFormat="1" applyFont="1" applyFill="1" applyBorder="1" applyAlignment="1">
      <alignment horizontal="left" vertical="center"/>
    </xf>
    <xf numFmtId="10" fontId="19" fillId="3" borderId="44" xfId="3" applyNumberFormat="1" applyFont="1" applyFill="1" applyBorder="1" applyAlignment="1">
      <alignment vertical="center"/>
    </xf>
    <xf numFmtId="14" fontId="19" fillId="3" borderId="44" xfId="3" applyNumberFormat="1" applyFont="1" applyFill="1" applyBorder="1" applyAlignment="1">
      <alignment vertical="center" wrapText="1"/>
    </xf>
    <xf numFmtId="14" fontId="45" fillId="3" borderId="44" xfId="3" applyNumberFormat="1" applyFont="1" applyFill="1" applyBorder="1" applyAlignment="1">
      <alignment vertical="center" wrapText="1"/>
    </xf>
    <xf numFmtId="14" fontId="19" fillId="3" borderId="44" xfId="3" applyNumberFormat="1" applyFont="1" applyFill="1" applyBorder="1" applyAlignment="1">
      <alignment vertical="center"/>
    </xf>
    <xf numFmtId="3" fontId="19" fillId="3" borderId="47" xfId="3" applyNumberFormat="1" applyFont="1" applyFill="1" applyBorder="1" applyAlignment="1">
      <alignment vertical="center"/>
    </xf>
    <xf numFmtId="1" fontId="41" fillId="3" borderId="44" xfId="3" applyNumberFormat="1" applyFont="1" applyFill="1" applyBorder="1" applyAlignment="1">
      <alignment vertical="center"/>
    </xf>
    <xf numFmtId="14" fontId="45" fillId="3" borderId="55" xfId="3" applyNumberFormat="1" applyFont="1" applyFill="1" applyBorder="1" applyAlignment="1">
      <alignment vertical="center" wrapText="1"/>
    </xf>
    <xf numFmtId="14" fontId="50" fillId="0" borderId="44" xfId="3" applyNumberFormat="1" applyFont="1" applyFill="1" applyBorder="1" applyAlignment="1">
      <alignment vertical="center" wrapText="1"/>
    </xf>
    <xf numFmtId="0" fontId="38" fillId="0" borderId="45" xfId="3" applyFont="1" applyFill="1" applyBorder="1" applyAlignment="1">
      <alignment vertical="center" wrapText="1"/>
    </xf>
    <xf numFmtId="0" fontId="11" fillId="0" borderId="58" xfId="3" applyFont="1" applyFill="1" applyBorder="1" applyAlignment="1">
      <alignment vertical="center"/>
    </xf>
    <xf numFmtId="3" fontId="45" fillId="0" borderId="47" xfId="3" applyNumberFormat="1" applyFont="1" applyFill="1" applyBorder="1" applyAlignment="1">
      <alignment vertical="center" wrapText="1"/>
    </xf>
    <xf numFmtId="14" fontId="45" fillId="0" borderId="47" xfId="3" applyNumberFormat="1" applyFont="1" applyFill="1" applyBorder="1" applyAlignment="1">
      <alignment horizontal="left" vertical="center"/>
    </xf>
    <xf numFmtId="14" fontId="19" fillId="0" borderId="47" xfId="3" applyNumberFormat="1" applyFont="1" applyFill="1" applyBorder="1" applyAlignment="1">
      <alignment vertical="center" wrapText="1"/>
    </xf>
    <xf numFmtId="14" fontId="19" fillId="0" borderId="47" xfId="3" applyNumberFormat="1" applyFont="1" applyFill="1" applyBorder="1" applyAlignment="1">
      <alignment vertical="center"/>
    </xf>
    <xf numFmtId="10" fontId="19" fillId="0" borderId="47" xfId="3" applyNumberFormat="1" applyFont="1" applyFill="1" applyBorder="1" applyAlignment="1">
      <alignment vertical="center"/>
    </xf>
    <xf numFmtId="1" fontId="19" fillId="0" borderId="47" xfId="3" applyNumberFormat="1" applyFont="1" applyFill="1" applyBorder="1" applyAlignment="1">
      <alignment vertical="center"/>
    </xf>
    <xf numFmtId="3" fontId="19" fillId="0" borderId="55" xfId="3" applyNumberFormat="1" applyFont="1" applyFill="1" applyBorder="1" applyAlignment="1">
      <alignment vertical="center"/>
    </xf>
    <xf numFmtId="0" fontId="11" fillId="0" borderId="58" xfId="3" applyFont="1" applyFill="1" applyBorder="1" applyAlignment="1">
      <alignment vertical="center" wrapText="1"/>
    </xf>
    <xf numFmtId="3" fontId="19" fillId="0" borderId="59" xfId="3" applyNumberFormat="1" applyFont="1" applyFill="1" applyBorder="1" applyAlignment="1">
      <alignment vertical="center"/>
    </xf>
    <xf numFmtId="1" fontId="19" fillId="0" borderId="58" xfId="3" applyNumberFormat="1" applyFont="1" applyFill="1" applyBorder="1" applyAlignment="1">
      <alignment vertical="center"/>
    </xf>
    <xf numFmtId="14" fontId="32" fillId="0" borderId="60" xfId="3" applyNumberFormat="1" applyFont="1" applyFill="1" applyBorder="1" applyAlignment="1">
      <alignment vertical="center"/>
    </xf>
    <xf numFmtId="0" fontId="11" fillId="0" borderId="51" xfId="3" applyFont="1" applyFill="1" applyBorder="1" applyAlignment="1">
      <alignment vertical="center"/>
    </xf>
    <xf numFmtId="3" fontId="19" fillId="0" borderId="37" xfId="3" applyNumberFormat="1" applyFont="1" applyFill="1" applyBorder="1" applyAlignment="1">
      <alignment vertical="center"/>
    </xf>
    <xf numFmtId="3" fontId="45" fillId="0" borderId="37" xfId="3" applyNumberFormat="1" applyFont="1" applyFill="1" applyBorder="1" applyAlignment="1">
      <alignment vertical="center" wrapText="1"/>
    </xf>
    <xf numFmtId="14" fontId="45" fillId="0" borderId="37" xfId="3" applyNumberFormat="1" applyFont="1" applyFill="1" applyBorder="1" applyAlignment="1">
      <alignment horizontal="left" vertical="center"/>
    </xf>
    <xf numFmtId="10" fontId="19" fillId="0" borderId="37" xfId="3" applyNumberFormat="1" applyFont="1" applyFill="1" applyBorder="1" applyAlignment="1">
      <alignment vertical="center"/>
    </xf>
    <xf numFmtId="14" fontId="19" fillId="0" borderId="37" xfId="3" applyNumberFormat="1" applyFont="1" applyFill="1" applyBorder="1" applyAlignment="1">
      <alignment vertical="center" wrapText="1"/>
    </xf>
    <xf numFmtId="14" fontId="19" fillId="0" borderId="37" xfId="3" applyNumberFormat="1" applyFont="1" applyFill="1" applyBorder="1" applyAlignment="1">
      <alignment vertical="center"/>
    </xf>
    <xf numFmtId="3" fontId="19" fillId="0" borderId="38" xfId="3" applyNumberFormat="1" applyFont="1" applyFill="1" applyBorder="1" applyAlignment="1">
      <alignment vertical="center"/>
    </xf>
    <xf numFmtId="1" fontId="19" fillId="0" borderId="51" xfId="3" applyNumberFormat="1" applyFont="1" applyFill="1" applyBorder="1" applyAlignment="1">
      <alignment vertical="center"/>
    </xf>
    <xf numFmtId="3" fontId="19" fillId="0" borderId="61" xfId="3" applyNumberFormat="1" applyFont="1" applyFill="1" applyBorder="1" applyAlignment="1">
      <alignment vertical="center"/>
    </xf>
    <xf numFmtId="14" fontId="32" fillId="0" borderId="80" xfId="3" applyNumberFormat="1" applyFont="1" applyFill="1" applyBorder="1" applyAlignment="1">
      <alignment vertical="center"/>
    </xf>
    <xf numFmtId="14" fontId="49" fillId="0" borderId="80" xfId="3" applyNumberFormat="1" applyFont="1" applyFill="1" applyBorder="1" applyAlignment="1">
      <alignment vertical="center"/>
    </xf>
    <xf numFmtId="0" fontId="18" fillId="0" borderId="58" xfId="3" applyFont="1" applyFill="1" applyBorder="1" applyAlignment="1">
      <alignment vertical="center"/>
    </xf>
    <xf numFmtId="3" fontId="41" fillId="0" borderId="47" xfId="3" applyNumberFormat="1" applyFont="1" applyFill="1" applyBorder="1" applyAlignment="1">
      <alignment vertical="center"/>
    </xf>
    <xf numFmtId="3" fontId="47" fillId="0" borderId="47" xfId="3" applyNumberFormat="1" applyFont="1" applyFill="1" applyBorder="1" applyAlignment="1">
      <alignment vertical="center" wrapText="1"/>
    </xf>
    <xf numFmtId="14" fontId="47" fillId="0" borderId="47" xfId="3" applyNumberFormat="1" applyFont="1" applyFill="1" applyBorder="1" applyAlignment="1">
      <alignment horizontal="left" vertical="center"/>
    </xf>
    <xf numFmtId="10" fontId="41" fillId="0" borderId="47" xfId="3" applyNumberFormat="1" applyFont="1" applyFill="1" applyBorder="1" applyAlignment="1">
      <alignment vertical="center"/>
    </xf>
    <xf numFmtId="14" fontId="41" fillId="0" borderId="47" xfId="3" applyNumberFormat="1" applyFont="1" applyFill="1" applyBorder="1" applyAlignment="1">
      <alignment vertical="center" wrapText="1"/>
    </xf>
    <xf numFmtId="14" fontId="41" fillId="0" borderId="47" xfId="3" applyNumberFormat="1" applyFont="1" applyFill="1" applyBorder="1" applyAlignment="1">
      <alignment vertical="center"/>
    </xf>
    <xf numFmtId="3" fontId="41" fillId="0" borderId="59" xfId="3" applyNumberFormat="1" applyFont="1" applyFill="1" applyBorder="1" applyAlignment="1">
      <alignment vertical="center"/>
    </xf>
    <xf numFmtId="1" fontId="41" fillId="0" borderId="58" xfId="3" applyNumberFormat="1" applyFont="1" applyFill="1" applyBorder="1" applyAlignment="1">
      <alignment vertical="center"/>
    </xf>
    <xf numFmtId="14" fontId="47" fillId="0" borderId="55" xfId="3" applyNumberFormat="1" applyFont="1" applyFill="1" applyBorder="1" applyAlignment="1">
      <alignment vertical="center" wrapText="1"/>
    </xf>
    <xf numFmtId="3" fontId="41" fillId="0" borderId="55" xfId="3" applyNumberFormat="1" applyFont="1" applyFill="1" applyBorder="1" applyAlignment="1">
      <alignment vertical="center"/>
    </xf>
    <xf numFmtId="14" fontId="32" fillId="0" borderId="0" xfId="3" applyNumberFormat="1" applyFont="1" applyFill="1" applyBorder="1" applyAlignment="1">
      <alignment vertical="center"/>
    </xf>
    <xf numFmtId="0" fontId="3" fillId="0" borderId="0" xfId="3" applyFont="1" applyFill="1" applyAlignment="1">
      <alignment horizontal="left" vertical="center"/>
    </xf>
    <xf numFmtId="0" fontId="32" fillId="0" borderId="0" xfId="3" applyFont="1" applyFill="1" applyAlignment="1">
      <alignment vertic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7" fillId="0" borderId="0" xfId="0" applyFont="1" applyAlignment="1">
      <alignment horizontal="center"/>
    </xf>
    <xf numFmtId="0" fontId="0" fillId="0" borderId="0" xfId="0" applyAlignment="1"/>
    <xf numFmtId="0" fontId="7" fillId="0" borderId="1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7" fillId="0" borderId="0" xfId="0" applyFont="1" applyAlignment="1">
      <alignment horizontal="right"/>
    </xf>
    <xf numFmtId="0" fontId="18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7" fillId="0" borderId="62" xfId="0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wrapText="1"/>
    </xf>
    <xf numFmtId="3" fontId="11" fillId="0" borderId="1" xfId="0" applyNumberFormat="1" applyFont="1" applyFill="1" applyBorder="1"/>
    <xf numFmtId="0" fontId="0" fillId="0" borderId="0" xfId="31" applyFont="1"/>
    <xf numFmtId="14" fontId="7" fillId="0" borderId="0" xfId="31" applyNumberFormat="1" applyFont="1"/>
    <xf numFmtId="0" fontId="7" fillId="0" borderId="12" xfId="31" applyFont="1" applyBorder="1"/>
    <xf numFmtId="0" fontId="7" fillId="0" borderId="14" xfId="31" applyFont="1" applyBorder="1"/>
    <xf numFmtId="0" fontId="0" fillId="0" borderId="14" xfId="31" applyFont="1" applyBorder="1"/>
    <xf numFmtId="14" fontId="0" fillId="0" borderId="2" xfId="31" applyNumberFormat="1" applyFont="1" applyBorder="1"/>
    <xf numFmtId="14" fontId="0" fillId="0" borderId="1" xfId="31" applyNumberFormat="1" applyFont="1" applyBorder="1"/>
    <xf numFmtId="0" fontId="0" fillId="0" borderId="9" xfId="31" applyFont="1" applyBorder="1"/>
    <xf numFmtId="0" fontId="0" fillId="0" borderId="1" xfId="31" applyFont="1" applyBorder="1"/>
    <xf numFmtId="0" fontId="51" fillId="0" borderId="0" xfId="31" applyFont="1" applyBorder="1"/>
    <xf numFmtId="0" fontId="11" fillId="0" borderId="0" xfId="31" applyFont="1"/>
    <xf numFmtId="14" fontId="11" fillId="0" borderId="1" xfId="0" applyNumberFormat="1" applyFont="1" applyBorder="1" applyAlignment="1">
      <alignment horizontal="center"/>
    </xf>
    <xf numFmtId="0" fontId="7" fillId="0" borderId="1" xfId="31" applyFont="1" applyBorder="1"/>
    <xf numFmtId="164" fontId="54" fillId="0" borderId="1" xfId="0" applyNumberFormat="1" applyFont="1" applyBorder="1"/>
    <xf numFmtId="14" fontId="18" fillId="0" borderId="0" xfId="0" applyNumberFormat="1" applyFont="1" applyAlignment="1">
      <alignment horizontal="center" vertical="center" wrapText="1"/>
    </xf>
    <xf numFmtId="3" fontId="0" fillId="0" borderId="13" xfId="0" applyNumberFormat="1" applyFont="1" applyFill="1" applyBorder="1"/>
    <xf numFmtId="0" fontId="40" fillId="0" borderId="1" xfId="0" applyFont="1" applyBorder="1" applyAlignment="1">
      <alignment vertical="center" wrapText="1"/>
    </xf>
    <xf numFmtId="0" fontId="40" fillId="0" borderId="12" xfId="0" applyFont="1" applyBorder="1" applyAlignment="1">
      <alignment vertical="center" wrapText="1"/>
    </xf>
    <xf numFmtId="3" fontId="15" fillId="0" borderId="44" xfId="29" applyNumberFormat="1" applyFont="1" applyFill="1" applyBorder="1" applyAlignment="1">
      <alignment horizontal="right" vertical="center"/>
    </xf>
    <xf numFmtId="3" fontId="38" fillId="0" borderId="9" xfId="0" applyNumberFormat="1" applyFont="1" applyFill="1" applyBorder="1" applyAlignment="1">
      <alignment vertical="center"/>
    </xf>
    <xf numFmtId="0" fontId="38" fillId="0" borderId="1" xfId="0" applyFont="1" applyFill="1" applyBorder="1" applyAlignment="1">
      <alignment vertical="center"/>
    </xf>
    <xf numFmtId="0" fontId="11" fillId="0" borderId="1" xfId="0" applyFont="1" applyBorder="1"/>
    <xf numFmtId="0" fontId="18" fillId="0" borderId="1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3" fontId="17" fillId="0" borderId="0" xfId="0" applyNumberFormat="1" applyFont="1" applyAlignment="1">
      <alignment horizontal="right"/>
    </xf>
    <xf numFmtId="14" fontId="0" fillId="0" borderId="0" xfId="0" applyNumberFormat="1" applyAlignment="1"/>
    <xf numFmtId="0" fontId="11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1" xfId="0" applyBorder="1"/>
    <xf numFmtId="3" fontId="11" fillId="0" borderId="0" xfId="0" applyNumberFormat="1" applyFont="1"/>
    <xf numFmtId="0" fontId="11" fillId="0" borderId="1" xfId="0" applyFont="1" applyFill="1" applyBorder="1" applyAlignment="1">
      <alignment vertical="center"/>
    </xf>
    <xf numFmtId="3" fontId="11" fillId="0" borderId="1" xfId="0" applyNumberFormat="1" applyFont="1" applyFill="1" applyBorder="1" applyAlignment="1">
      <alignment vertical="center"/>
    </xf>
    <xf numFmtId="14" fontId="0" fillId="0" borderId="0" xfId="0" applyNumberFormat="1"/>
    <xf numFmtId="0" fontId="11" fillId="0" borderId="1" xfId="0" applyFont="1" applyBorder="1" applyAlignment="1">
      <alignment horizontal="center"/>
    </xf>
    <xf numFmtId="3" fontId="0" fillId="0" borderId="1" xfId="0" applyNumberFormat="1" applyFill="1" applyBorder="1" applyAlignment="1">
      <alignment horizontal="right"/>
    </xf>
    <xf numFmtId="3" fontId="18" fillId="0" borderId="1" xfId="0" applyNumberFormat="1" applyFont="1" applyFill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9" fontId="0" fillId="0" borderId="0" xfId="34" applyFont="1" applyBorder="1"/>
    <xf numFmtId="9" fontId="11" fillId="0" borderId="0" xfId="34" applyFont="1"/>
    <xf numFmtId="3" fontId="41" fillId="0" borderId="48" xfId="2" applyNumberFormat="1" applyFont="1" applyFill="1" applyBorder="1" applyAlignment="1">
      <alignment vertical="center"/>
    </xf>
    <xf numFmtId="3" fontId="3" fillId="0" borderId="0" xfId="2" applyNumberFormat="1" applyFont="1"/>
    <xf numFmtId="0" fontId="28" fillId="0" borderId="0" xfId="35" applyFont="1" applyFill="1" applyAlignment="1">
      <alignment horizontal="center" vertical="center"/>
    </xf>
    <xf numFmtId="0" fontId="37" fillId="0" borderId="0" xfId="35" applyFont="1" applyFill="1"/>
    <xf numFmtId="0" fontId="11" fillId="0" borderId="0" xfId="3" applyFont="1" applyFill="1" applyAlignment="1">
      <alignment horizontal="right"/>
    </xf>
    <xf numFmtId="14" fontId="7" fillId="0" borderId="0" xfId="3" applyNumberFormat="1" applyFont="1" applyFill="1" applyAlignment="1">
      <alignment horizontal="center"/>
    </xf>
    <xf numFmtId="0" fontId="37" fillId="0" borderId="0" xfId="35" applyFont="1" applyFill="1" applyAlignment="1">
      <alignment vertical="center"/>
    </xf>
    <xf numFmtId="3" fontId="55" fillId="0" borderId="0" xfId="35" applyNumberFormat="1" applyFont="1" applyFill="1"/>
    <xf numFmtId="0" fontId="55" fillId="0" borderId="0" xfId="35" applyFont="1" applyFill="1"/>
    <xf numFmtId="0" fontId="37" fillId="0" borderId="0" xfId="35" applyFont="1" applyFill="1" applyAlignment="1">
      <alignment horizontal="right"/>
    </xf>
    <xf numFmtId="0" fontId="55" fillId="0" borderId="23" xfId="35" applyFont="1" applyFill="1" applyBorder="1" applyAlignment="1">
      <alignment horizontal="center" vertical="center" wrapText="1"/>
    </xf>
    <xf numFmtId="0" fontId="37" fillId="0" borderId="9" xfId="37" applyFont="1" applyFill="1" applyBorder="1" applyAlignment="1">
      <alignment vertical="center" wrapText="1"/>
    </xf>
    <xf numFmtId="3" fontId="37" fillId="0" borderId="9" xfId="35" applyNumberFormat="1" applyFont="1" applyFill="1" applyBorder="1" applyAlignment="1">
      <alignment horizontal="right" vertical="center"/>
    </xf>
    <xf numFmtId="3" fontId="37" fillId="0" borderId="9" xfId="37" applyNumberFormat="1" applyFont="1" applyFill="1" applyBorder="1" applyAlignment="1">
      <alignment horizontal="right" vertical="center"/>
    </xf>
    <xf numFmtId="170" fontId="37" fillId="0" borderId="1" xfId="36" applyNumberFormat="1" applyFont="1" applyFill="1" applyBorder="1" applyAlignment="1">
      <alignment vertical="center"/>
    </xf>
    <xf numFmtId="0" fontId="37" fillId="0" borderId="9" xfId="37" applyFont="1" applyFill="1" applyBorder="1" applyAlignment="1">
      <alignment horizontal="left" vertical="center" wrapText="1"/>
    </xf>
    <xf numFmtId="0" fontId="37" fillId="0" borderId="1" xfId="37" applyFont="1" applyFill="1" applyBorder="1" applyAlignment="1">
      <alignment vertical="center" wrapText="1"/>
    </xf>
    <xf numFmtId="3" fontId="37" fillId="0" borderId="1" xfId="35" applyNumberFormat="1" applyFont="1" applyFill="1" applyBorder="1" applyAlignment="1">
      <alignment horizontal="right" vertical="center"/>
    </xf>
    <xf numFmtId="3" fontId="37" fillId="0" borderId="1" xfId="37" applyNumberFormat="1" applyFont="1" applyFill="1" applyBorder="1" applyAlignment="1">
      <alignment horizontal="right" vertical="center"/>
    </xf>
    <xf numFmtId="3" fontId="37" fillId="0" borderId="12" xfId="35" applyNumberFormat="1" applyFont="1" applyFill="1" applyBorder="1" applyAlignment="1">
      <alignment horizontal="right" vertical="center"/>
    </xf>
    <xf numFmtId="3" fontId="37" fillId="0" borderId="12" xfId="37" applyNumberFormat="1" applyFont="1" applyFill="1" applyBorder="1" applyAlignment="1">
      <alignment horizontal="right" vertical="center"/>
    </xf>
    <xf numFmtId="0" fontId="56" fillId="0" borderId="85" xfId="37" applyFont="1" applyFill="1" applyBorder="1" applyAlignment="1">
      <alignment vertical="center" wrapText="1"/>
    </xf>
    <xf numFmtId="3" fontId="37" fillId="0" borderId="23" xfId="35" applyNumberFormat="1" applyFont="1" applyFill="1" applyBorder="1" applyAlignment="1">
      <alignment horizontal="right" vertical="center"/>
    </xf>
    <xf numFmtId="3" fontId="37" fillId="0" borderId="23" xfId="37" applyNumberFormat="1" applyFont="1" applyFill="1" applyBorder="1" applyAlignment="1">
      <alignment horizontal="right" vertical="center"/>
    </xf>
    <xf numFmtId="3" fontId="57" fillId="0" borderId="9" xfId="35" applyNumberFormat="1" applyFont="1" applyFill="1" applyBorder="1" applyAlignment="1">
      <alignment horizontal="right" vertical="center"/>
    </xf>
    <xf numFmtId="3" fontId="37" fillId="0" borderId="1" xfId="36" applyNumberFormat="1" applyFont="1" applyFill="1" applyBorder="1" applyAlignment="1">
      <alignment vertical="center"/>
    </xf>
    <xf numFmtId="3" fontId="37" fillId="0" borderId="1" xfId="35" applyNumberFormat="1" applyFont="1" applyFill="1" applyBorder="1" applyAlignment="1">
      <alignment vertical="center" wrapText="1"/>
    </xf>
    <xf numFmtId="0" fontId="57" fillId="0" borderId="1" xfId="37" applyFont="1" applyFill="1" applyBorder="1" applyAlignment="1">
      <alignment vertical="center" wrapText="1"/>
    </xf>
    <xf numFmtId="0" fontId="57" fillId="0" borderId="9" xfId="35" applyFont="1" applyFill="1" applyBorder="1" applyAlignment="1">
      <alignment vertical="center" wrapText="1"/>
    </xf>
    <xf numFmtId="0" fontId="37" fillId="0" borderId="1" xfId="35" applyFont="1" applyFill="1" applyBorder="1" applyAlignment="1">
      <alignment vertical="center" wrapText="1"/>
    </xf>
    <xf numFmtId="0" fontId="37" fillId="0" borderId="1" xfId="37" applyFont="1" applyFill="1" applyBorder="1" applyAlignment="1">
      <alignment horizontal="left" vertical="center" wrapText="1"/>
    </xf>
    <xf numFmtId="3" fontId="56" fillId="0" borderId="1" xfId="37" applyNumberFormat="1" applyFont="1" applyFill="1" applyBorder="1" applyAlignment="1">
      <alignment vertical="center" wrapText="1"/>
    </xf>
    <xf numFmtId="3" fontId="37" fillId="0" borderId="1" xfId="35" applyNumberFormat="1" applyFont="1" applyFill="1" applyBorder="1" applyAlignment="1">
      <alignment vertical="center"/>
    </xf>
    <xf numFmtId="3" fontId="37" fillId="0" borderId="12" xfId="35" applyNumberFormat="1" applyFont="1" applyFill="1" applyBorder="1" applyAlignment="1">
      <alignment vertical="center"/>
    </xf>
    <xf numFmtId="3" fontId="56" fillId="0" borderId="23" xfId="37" applyNumberFormat="1" applyFont="1" applyFill="1" applyBorder="1" applyAlignment="1">
      <alignment vertical="center" wrapText="1"/>
    </xf>
    <xf numFmtId="3" fontId="37" fillId="0" borderId="23" xfId="35" applyNumberFormat="1" applyFont="1" applyFill="1" applyBorder="1" applyAlignment="1">
      <alignment vertical="center"/>
    </xf>
    <xf numFmtId="0" fontId="37" fillId="0" borderId="18" xfId="35" applyFont="1" applyFill="1" applyBorder="1" applyAlignment="1">
      <alignment vertical="center"/>
    </xf>
    <xf numFmtId="0" fontId="37" fillId="0" borderId="18" xfId="35" applyFont="1" applyFill="1" applyBorder="1"/>
    <xf numFmtId="3" fontId="37" fillId="0" borderId="18" xfId="35" applyNumberFormat="1" applyFont="1" applyFill="1" applyBorder="1" applyAlignment="1">
      <alignment horizontal="right" vertical="center"/>
    </xf>
    <xf numFmtId="3" fontId="37" fillId="0" borderId="17" xfId="35" applyNumberFormat="1" applyFont="1" applyFill="1" applyBorder="1" applyAlignment="1">
      <alignment vertical="center"/>
    </xf>
    <xf numFmtId="3" fontId="58" fillId="0" borderId="1" xfId="37" applyNumberFormat="1" applyFont="1" applyFill="1" applyBorder="1" applyAlignment="1">
      <alignment vertical="center" wrapText="1"/>
    </xf>
    <xf numFmtId="3" fontId="37" fillId="0" borderId="9" xfId="35" applyNumberFormat="1" applyFont="1" applyFill="1" applyBorder="1" applyAlignment="1">
      <alignment vertical="center"/>
    </xf>
    <xf numFmtId="3" fontId="58" fillId="0" borderId="12" xfId="37" applyNumberFormat="1" applyFont="1" applyFill="1" applyBorder="1" applyAlignment="1">
      <alignment vertical="center" wrapText="1"/>
    </xf>
    <xf numFmtId="0" fontId="58" fillId="0" borderId="12" xfId="37" applyFont="1" applyFill="1" applyBorder="1" applyAlignment="1">
      <alignment vertical="center" wrapText="1"/>
    </xf>
    <xf numFmtId="0" fontId="37" fillId="0" borderId="12" xfId="35" applyFont="1" applyFill="1" applyBorder="1"/>
    <xf numFmtId="3" fontId="37" fillId="0" borderId="12" xfId="35" applyNumberFormat="1" applyFont="1" applyFill="1" applyBorder="1"/>
    <xf numFmtId="0" fontId="37" fillId="0" borderId="12" xfId="35" applyFont="1" applyFill="1" applyBorder="1" applyAlignment="1">
      <alignment vertical="center"/>
    </xf>
    <xf numFmtId="0" fontId="37" fillId="0" borderId="1" xfId="35" applyFont="1" applyFill="1" applyBorder="1"/>
    <xf numFmtId="0" fontId="57" fillId="0" borderId="1" xfId="37" applyFont="1" applyFill="1" applyBorder="1" applyAlignment="1">
      <alignment horizontal="left" vertical="center" wrapText="1"/>
    </xf>
    <xf numFmtId="165" fontId="37" fillId="0" borderId="1" xfId="36" applyNumberFormat="1" applyFont="1" applyFill="1" applyBorder="1" applyAlignment="1">
      <alignment horizontal="right" vertical="center"/>
    </xf>
    <xf numFmtId="0" fontId="57" fillId="0" borderId="23" xfId="37" applyFont="1" applyFill="1" applyBorder="1" applyAlignment="1">
      <alignment horizontal="left" vertical="center" wrapText="1"/>
    </xf>
    <xf numFmtId="0" fontId="37" fillId="0" borderId="23" xfId="35" applyFont="1" applyFill="1" applyBorder="1"/>
    <xf numFmtId="3" fontId="37" fillId="0" borderId="0" xfId="37" applyNumberFormat="1" applyFont="1" applyFill="1" applyBorder="1" applyAlignment="1">
      <alignment vertical="center" wrapText="1"/>
    </xf>
    <xf numFmtId="3" fontId="37" fillId="0" borderId="14" xfId="35" applyNumberFormat="1" applyFont="1" applyFill="1" applyBorder="1" applyAlignment="1">
      <alignment horizontal="right" vertical="center"/>
    </xf>
    <xf numFmtId="3" fontId="37" fillId="0" borderId="1" xfId="37" applyNumberFormat="1" applyFont="1" applyFill="1" applyBorder="1" applyAlignment="1">
      <alignment vertical="center" wrapText="1"/>
    </xf>
    <xf numFmtId="3" fontId="37" fillId="0" borderId="12" xfId="35" applyNumberFormat="1" applyFont="1" applyFill="1" applyBorder="1" applyAlignment="1">
      <alignment vertical="center" wrapText="1"/>
    </xf>
    <xf numFmtId="0" fontId="37" fillId="0" borderId="23" xfId="35" applyFont="1" applyFill="1" applyBorder="1" applyAlignment="1">
      <alignment vertical="center" wrapText="1"/>
    </xf>
    <xf numFmtId="3" fontId="57" fillId="0" borderId="87" xfId="37" applyNumberFormat="1" applyFont="1" applyFill="1" applyBorder="1" applyAlignment="1">
      <alignment horizontal="left" vertical="center" wrapText="1"/>
    </xf>
    <xf numFmtId="3" fontId="57" fillId="0" borderId="1" xfId="37" applyNumberFormat="1" applyFont="1" applyFill="1" applyBorder="1" applyAlignment="1">
      <alignment horizontal="left" vertical="center" wrapText="1"/>
    </xf>
    <xf numFmtId="0" fontId="37" fillId="0" borderId="0" xfId="35" applyFont="1" applyFill="1" applyBorder="1"/>
    <xf numFmtId="3" fontId="29" fillId="0" borderId="1" xfId="37" applyNumberFormat="1" applyFont="1" applyFill="1" applyBorder="1" applyAlignment="1">
      <alignment vertical="center"/>
    </xf>
    <xf numFmtId="3" fontId="29" fillId="0" borderId="1" xfId="37" applyNumberFormat="1" applyFont="1" applyFill="1" applyBorder="1" applyAlignment="1">
      <alignment vertical="center" wrapText="1"/>
    </xf>
    <xf numFmtId="0" fontId="56" fillId="0" borderId="1" xfId="37" applyFont="1" applyFill="1" applyBorder="1" applyAlignment="1">
      <alignment vertical="center"/>
    </xf>
    <xf numFmtId="0" fontId="37" fillId="0" borderId="12" xfId="35" applyFont="1" applyFill="1" applyBorder="1" applyAlignment="1">
      <alignment vertical="center" wrapText="1"/>
    </xf>
    <xf numFmtId="1" fontId="37" fillId="0" borderId="26" xfId="35" applyNumberFormat="1" applyFont="1" applyFill="1" applyBorder="1" applyAlignment="1">
      <alignment horizontal="left" vertical="center"/>
    </xf>
    <xf numFmtId="0" fontId="37" fillId="0" borderId="27" xfId="35" applyFont="1" applyFill="1" applyBorder="1" applyAlignment="1">
      <alignment vertical="center" wrapText="1"/>
    </xf>
    <xf numFmtId="3" fontId="37" fillId="0" borderId="27" xfId="35" applyNumberFormat="1" applyFont="1" applyFill="1" applyBorder="1" applyAlignment="1">
      <alignment horizontal="right" vertical="center"/>
    </xf>
    <xf numFmtId="3" fontId="57" fillId="0" borderId="27" xfId="35" applyNumberFormat="1" applyFont="1" applyFill="1" applyBorder="1" applyAlignment="1">
      <alignment horizontal="right" vertical="center"/>
    </xf>
    <xf numFmtId="3" fontId="55" fillId="0" borderId="24" xfId="35" applyNumberFormat="1" applyFont="1" applyFill="1" applyBorder="1" applyAlignment="1">
      <alignment horizontal="right" vertical="center"/>
    </xf>
    <xf numFmtId="3" fontId="55" fillId="0" borderId="90" xfId="35" applyNumberFormat="1" applyFont="1" applyFill="1" applyBorder="1" applyAlignment="1">
      <alignment horizontal="right" vertical="center"/>
    </xf>
    <xf numFmtId="170" fontId="37" fillId="0" borderId="3" xfId="35" applyNumberFormat="1" applyFont="1" applyFill="1" applyBorder="1" applyAlignment="1">
      <alignment vertical="center"/>
    </xf>
    <xf numFmtId="3" fontId="37" fillId="0" borderId="33" xfId="35" applyNumberFormat="1" applyFont="1" applyFill="1" applyBorder="1" applyAlignment="1">
      <alignment horizontal="right" vertical="center"/>
    </xf>
    <xf numFmtId="1" fontId="37" fillId="0" borderId="30" xfId="35" applyNumberFormat="1" applyFont="1" applyFill="1" applyBorder="1" applyAlignment="1">
      <alignment horizontal="left" vertical="center"/>
    </xf>
    <xf numFmtId="0" fontId="37" fillId="0" borderId="14" xfId="35" applyFont="1" applyFill="1" applyBorder="1" applyAlignment="1">
      <alignment vertical="center" wrapText="1"/>
    </xf>
    <xf numFmtId="3" fontId="55" fillId="0" borderId="14" xfId="35" applyNumberFormat="1" applyFont="1" applyFill="1" applyBorder="1" applyAlignment="1">
      <alignment horizontal="right" vertical="center"/>
    </xf>
    <xf numFmtId="3" fontId="55" fillId="0" borderId="13" xfId="35" applyNumberFormat="1" applyFont="1" applyFill="1" applyBorder="1" applyAlignment="1">
      <alignment horizontal="right" vertical="center"/>
    </xf>
    <xf numFmtId="3" fontId="55" fillId="0" borderId="27" xfId="35" applyNumberFormat="1" applyFont="1" applyFill="1" applyBorder="1" applyAlignment="1">
      <alignment horizontal="right" vertical="center"/>
    </xf>
    <xf numFmtId="3" fontId="55" fillId="0" borderId="32" xfId="35" applyNumberFormat="1" applyFont="1" applyFill="1" applyBorder="1" applyAlignment="1">
      <alignment horizontal="right" vertical="center"/>
    </xf>
    <xf numFmtId="170" fontId="37" fillId="0" borderId="23" xfId="36" applyNumberFormat="1" applyFont="1" applyFill="1" applyBorder="1" applyAlignment="1">
      <alignment vertical="center"/>
    </xf>
    <xf numFmtId="170" fontId="37" fillId="0" borderId="85" xfId="35" applyNumberFormat="1" applyFont="1" applyFill="1" applyBorder="1" applyAlignment="1">
      <alignment vertical="center"/>
    </xf>
    <xf numFmtId="3" fontId="37" fillId="0" borderId="91" xfId="35" applyNumberFormat="1" applyFont="1" applyFill="1" applyBorder="1" applyAlignment="1">
      <alignment horizontal="right" vertical="center"/>
    </xf>
    <xf numFmtId="0" fontId="29" fillId="0" borderId="17" xfId="35" applyFont="1" applyFill="1" applyBorder="1" applyAlignment="1">
      <alignment vertical="center" wrapText="1"/>
    </xf>
    <xf numFmtId="3" fontId="37" fillId="0" borderId="17" xfId="35" applyNumberFormat="1" applyFont="1" applyFill="1" applyBorder="1" applyAlignment="1">
      <alignment horizontal="right" vertical="center"/>
    </xf>
    <xf numFmtId="3" fontId="29" fillId="0" borderId="18" xfId="35" applyNumberFormat="1" applyFont="1" applyFill="1" applyBorder="1" applyAlignment="1">
      <alignment horizontal="right" vertical="center"/>
    </xf>
    <xf numFmtId="3" fontId="29" fillId="0" borderId="17" xfId="35" applyNumberFormat="1" applyFont="1" applyFill="1" applyBorder="1" applyAlignment="1">
      <alignment horizontal="right" vertical="center"/>
    </xf>
    <xf numFmtId="170" fontId="37" fillId="0" borderId="17" xfId="36" applyNumberFormat="1" applyFont="1" applyFill="1" applyBorder="1" applyAlignment="1">
      <alignment vertical="center"/>
    </xf>
    <xf numFmtId="0" fontId="29" fillId="0" borderId="1" xfId="35" applyFont="1" applyFill="1" applyBorder="1" applyAlignment="1">
      <alignment vertical="center" wrapText="1"/>
    </xf>
    <xf numFmtId="3" fontId="29" fillId="0" borderId="1" xfId="35" applyNumberFormat="1" applyFont="1" applyFill="1" applyBorder="1" applyAlignment="1">
      <alignment horizontal="right" vertical="center"/>
    </xf>
    <xf numFmtId="0" fontId="57" fillId="0" borderId="9" xfId="37" applyFont="1" applyFill="1" applyBorder="1" applyAlignment="1">
      <alignment vertical="center" wrapText="1"/>
    </xf>
    <xf numFmtId="0" fontId="57" fillId="0" borderId="14" xfId="37" applyFont="1" applyFill="1" applyBorder="1" applyAlignment="1">
      <alignment vertical="center" wrapText="1"/>
    </xf>
    <xf numFmtId="0" fontId="58" fillId="0" borderId="101" xfId="37" applyFont="1" applyFill="1" applyBorder="1" applyAlignment="1">
      <alignment vertical="center" wrapText="1"/>
    </xf>
    <xf numFmtId="0" fontId="58" fillId="0" borderId="23" xfId="37" applyFont="1" applyFill="1" applyBorder="1" applyAlignment="1">
      <alignment vertical="center" wrapText="1"/>
    </xf>
    <xf numFmtId="0" fontId="58" fillId="0" borderId="32" xfId="37" applyFont="1" applyFill="1" applyBorder="1" applyAlignment="1">
      <alignment vertical="center" wrapText="1"/>
    </xf>
    <xf numFmtId="170" fontId="37" fillId="0" borderId="27" xfId="36" applyNumberFormat="1" applyFont="1" applyFill="1" applyBorder="1" applyAlignment="1">
      <alignment vertical="center"/>
    </xf>
    <xf numFmtId="170" fontId="37" fillId="0" borderId="32" xfId="35" applyNumberFormat="1" applyFont="1" applyFill="1" applyBorder="1" applyAlignment="1">
      <alignment vertical="center"/>
    </xf>
    <xf numFmtId="0" fontId="37" fillId="0" borderId="18" xfId="37" applyFont="1" applyFill="1" applyBorder="1" applyAlignment="1">
      <alignment vertical="center" wrapText="1"/>
    </xf>
    <xf numFmtId="0" fontId="37" fillId="0" borderId="12" xfId="37" applyFont="1" applyFill="1" applyBorder="1" applyAlignment="1">
      <alignment vertical="center" wrapText="1"/>
    </xf>
    <xf numFmtId="0" fontId="57" fillId="0" borderId="23" xfId="37" applyFont="1" applyFill="1" applyBorder="1" applyAlignment="1">
      <alignment vertical="center" wrapText="1"/>
    </xf>
    <xf numFmtId="0" fontId="57" fillId="0" borderId="17" xfId="37" applyFont="1" applyFill="1" applyBorder="1" applyAlignment="1">
      <alignment vertical="center" wrapText="1"/>
    </xf>
    <xf numFmtId="3" fontId="37" fillId="0" borderId="31" xfId="35" applyNumberFormat="1" applyFont="1" applyFill="1" applyBorder="1" applyAlignment="1">
      <alignment horizontal="left"/>
    </xf>
    <xf numFmtId="0" fontId="28" fillId="0" borderId="24" xfId="35" applyFont="1" applyFill="1" applyBorder="1" applyAlignment="1">
      <alignment vertical="center" wrapText="1"/>
    </xf>
    <xf numFmtId="170" fontId="55" fillId="0" borderId="9" xfId="36" applyNumberFormat="1" applyFont="1" applyFill="1" applyBorder="1" applyAlignment="1">
      <alignment vertical="center"/>
    </xf>
    <xf numFmtId="170" fontId="55" fillId="0" borderId="11" xfId="36" applyNumberFormat="1" applyFont="1" applyFill="1" applyBorder="1" applyAlignment="1">
      <alignment vertical="center"/>
    </xf>
    <xf numFmtId="3" fontId="55" fillId="0" borderId="102" xfId="35" applyNumberFormat="1" applyFont="1" applyFill="1" applyBorder="1" applyAlignment="1">
      <alignment horizontal="right" vertical="center"/>
    </xf>
    <xf numFmtId="3" fontId="37" fillId="0" borderId="26" xfId="35" applyNumberFormat="1" applyFont="1" applyFill="1" applyBorder="1" applyAlignment="1">
      <alignment horizontal="left" vertical="center"/>
    </xf>
    <xf numFmtId="0" fontId="29" fillId="0" borderId="18" xfId="35" applyFont="1" applyFill="1" applyBorder="1" applyAlignment="1">
      <alignment vertical="center" wrapText="1"/>
    </xf>
    <xf numFmtId="3" fontId="37" fillId="0" borderId="14" xfId="37" applyNumberFormat="1" applyFont="1" applyFill="1" applyBorder="1" applyAlignment="1">
      <alignment horizontal="right" vertical="center"/>
    </xf>
    <xf numFmtId="3" fontId="55" fillId="0" borderId="0" xfId="35" applyNumberFormat="1" applyFont="1" applyFill="1" applyBorder="1" applyAlignment="1">
      <alignment horizontal="right" vertical="center"/>
    </xf>
    <xf numFmtId="0" fontId="37" fillId="0" borderId="3" xfId="35" applyFont="1" applyFill="1" applyBorder="1" applyAlignment="1">
      <alignment vertical="center"/>
    </xf>
    <xf numFmtId="3" fontId="37" fillId="0" borderId="100" xfId="35" applyNumberFormat="1" applyFont="1" applyFill="1" applyBorder="1" applyAlignment="1">
      <alignment horizontal="left" vertical="center"/>
    </xf>
    <xf numFmtId="0" fontId="29" fillId="0" borderId="27" xfId="35" applyFont="1" applyFill="1" applyBorder="1" applyAlignment="1">
      <alignment vertical="center" wrapText="1"/>
    </xf>
    <xf numFmtId="3" fontId="29" fillId="0" borderId="27" xfId="35" applyNumberFormat="1" applyFont="1" applyFill="1" applyBorder="1" applyAlignment="1">
      <alignment horizontal="right" vertical="center"/>
    </xf>
    <xf numFmtId="3" fontId="37" fillId="0" borderId="27" xfId="37" applyNumberFormat="1" applyFont="1" applyFill="1" applyBorder="1" applyAlignment="1">
      <alignment horizontal="right" vertical="center"/>
    </xf>
    <xf numFmtId="3" fontId="55" fillId="0" borderId="103" xfId="35" applyNumberFormat="1" applyFont="1" applyFill="1" applyBorder="1" applyAlignment="1">
      <alignment horizontal="right" vertical="center"/>
    </xf>
    <xf numFmtId="3" fontId="37" fillId="0" borderId="26" xfId="35" applyNumberFormat="1" applyFont="1" applyFill="1" applyBorder="1"/>
    <xf numFmtId="0" fontId="28" fillId="0" borderId="27" xfId="35" applyFont="1" applyFill="1" applyBorder="1" applyAlignment="1">
      <alignment vertical="center"/>
    </xf>
    <xf numFmtId="3" fontId="55" fillId="0" borderId="33" xfId="35" applyNumberFormat="1" applyFont="1" applyFill="1" applyBorder="1" applyAlignment="1">
      <alignment horizontal="right" vertical="center"/>
    </xf>
    <xf numFmtId="3" fontId="37" fillId="0" borderId="0" xfId="35" applyNumberFormat="1" applyFont="1" applyFill="1"/>
    <xf numFmtId="0" fontId="28" fillId="0" borderId="0" xfId="35" applyFont="1" applyFill="1" applyAlignment="1">
      <alignment horizontal="center"/>
    </xf>
    <xf numFmtId="3" fontId="37" fillId="0" borderId="0" xfId="35" applyNumberFormat="1" applyFont="1" applyFill="1" applyAlignment="1">
      <alignment horizontal="right"/>
    </xf>
    <xf numFmtId="14" fontId="31" fillId="0" borderId="0" xfId="35" applyNumberFormat="1" applyFont="1" applyFill="1"/>
    <xf numFmtId="0" fontId="37" fillId="0" borderId="0" xfId="35" applyFont="1" applyFill="1" applyBorder="1" applyAlignment="1">
      <alignment vertical="center"/>
    </xf>
    <xf numFmtId="1" fontId="37" fillId="0" borderId="30" xfId="35" applyNumberFormat="1" applyFont="1" applyFill="1" applyBorder="1" applyAlignment="1">
      <alignment horizontal="left" vertical="center" wrapText="1"/>
    </xf>
    <xf numFmtId="0" fontId="29" fillId="0" borderId="27" xfId="35" applyFont="1" applyFill="1" applyBorder="1" applyAlignment="1">
      <alignment horizontal="left" vertical="center" wrapText="1"/>
    </xf>
    <xf numFmtId="0" fontId="55" fillId="0" borderId="14" xfId="35" applyFont="1" applyFill="1" applyBorder="1" applyAlignment="1">
      <alignment horizontal="center" vertical="center" wrapText="1"/>
    </xf>
    <xf numFmtId="3" fontId="55" fillId="0" borderId="14" xfId="35" applyNumberFormat="1" applyFont="1" applyFill="1" applyBorder="1" applyAlignment="1">
      <alignment horizontal="center" vertical="center" wrapText="1"/>
    </xf>
    <xf numFmtId="3" fontId="37" fillId="0" borderId="14" xfId="35" applyNumberFormat="1" applyFont="1" applyFill="1" applyBorder="1" applyAlignment="1">
      <alignment horizontal="center" vertical="center" wrapText="1"/>
    </xf>
    <xf numFmtId="3" fontId="55" fillId="0" borderId="14" xfId="35" applyNumberFormat="1" applyFont="1" applyFill="1" applyBorder="1" applyAlignment="1">
      <alignment horizontal="right" vertical="center" wrapText="1"/>
    </xf>
    <xf numFmtId="3" fontId="55" fillId="0" borderId="13" xfId="35" applyNumberFormat="1" applyFont="1" applyFill="1" applyBorder="1" applyAlignment="1">
      <alignment horizontal="right" vertical="center" wrapText="1"/>
    </xf>
    <xf numFmtId="170" fontId="55" fillId="0" borderId="1" xfId="35" applyNumberFormat="1" applyFont="1" applyFill="1" applyBorder="1" applyAlignment="1">
      <alignment horizontal="right" vertical="center" wrapText="1"/>
    </xf>
    <xf numFmtId="170" fontId="37" fillId="4" borderId="3" xfId="35" applyNumberFormat="1" applyFont="1" applyFill="1" applyBorder="1" applyAlignment="1">
      <alignment vertical="center"/>
    </xf>
    <xf numFmtId="3" fontId="55" fillId="0" borderId="33" xfId="35" applyNumberFormat="1" applyFont="1" applyFill="1" applyBorder="1" applyAlignment="1">
      <alignment horizontal="right" vertical="center" wrapText="1"/>
    </xf>
    <xf numFmtId="3" fontId="37" fillId="0" borderId="33" xfId="35" applyNumberFormat="1" applyFont="1" applyFill="1" applyBorder="1" applyAlignment="1">
      <alignment vertical="center"/>
    </xf>
    <xf numFmtId="1" fontId="37" fillId="0" borderId="83" xfId="35" applyNumberFormat="1" applyFont="1" applyFill="1" applyBorder="1" applyAlignment="1">
      <alignment horizontal="left" vertical="center"/>
    </xf>
    <xf numFmtId="0" fontId="57" fillId="0" borderId="18" xfId="37" applyFont="1" applyFill="1" applyBorder="1" applyAlignment="1">
      <alignment vertical="center" wrapText="1"/>
    </xf>
    <xf numFmtId="3" fontId="55" fillId="0" borderId="18" xfId="35" applyNumberFormat="1" applyFont="1" applyFill="1" applyBorder="1" applyAlignment="1">
      <alignment horizontal="right" vertical="center"/>
    </xf>
    <xf numFmtId="3" fontId="55" fillId="0" borderId="89" xfId="35" applyNumberFormat="1" applyFont="1" applyFill="1" applyBorder="1" applyAlignment="1">
      <alignment horizontal="right" vertical="center"/>
    </xf>
    <xf numFmtId="170" fontId="55" fillId="0" borderId="1" xfId="35" applyNumberFormat="1" applyFont="1" applyFill="1" applyBorder="1" applyAlignment="1">
      <alignment horizontal="right" vertical="center"/>
    </xf>
    <xf numFmtId="3" fontId="37" fillId="0" borderId="17" xfId="37" applyNumberFormat="1" applyFont="1" applyFill="1" applyBorder="1" applyAlignment="1">
      <alignment horizontal="right" vertical="center"/>
    </xf>
    <xf numFmtId="3" fontId="55" fillId="0" borderId="108" xfId="35" applyNumberFormat="1" applyFont="1" applyFill="1" applyBorder="1" applyAlignment="1">
      <alignment horizontal="right" vertical="center" wrapText="1"/>
    </xf>
    <xf numFmtId="0" fontId="37" fillId="0" borderId="1" xfId="37" applyFont="1" applyFill="1" applyBorder="1" applyAlignment="1">
      <alignment horizontal="right" vertical="center"/>
    </xf>
    <xf numFmtId="3" fontId="55" fillId="0" borderId="93" xfId="35" applyNumberFormat="1" applyFont="1" applyFill="1" applyBorder="1" applyAlignment="1">
      <alignment horizontal="right" vertical="center" wrapText="1"/>
    </xf>
    <xf numFmtId="3" fontId="37" fillId="0" borderId="24" xfId="35" applyNumberFormat="1" applyFont="1" applyFill="1" applyBorder="1" applyAlignment="1">
      <alignment horizontal="right" vertical="center"/>
    </xf>
    <xf numFmtId="3" fontId="55" fillId="0" borderId="107" xfId="35" applyNumberFormat="1" applyFont="1" applyFill="1" applyBorder="1" applyAlignment="1">
      <alignment horizontal="right" vertical="center" wrapText="1"/>
    </xf>
    <xf numFmtId="3" fontId="55" fillId="0" borderId="92" xfId="35" applyNumberFormat="1" applyFont="1" applyFill="1" applyBorder="1" applyAlignment="1">
      <alignment horizontal="right" vertical="center" wrapText="1"/>
    </xf>
    <xf numFmtId="3" fontId="55" fillId="0" borderId="99" xfId="35" applyNumberFormat="1" applyFont="1" applyFill="1" applyBorder="1" applyAlignment="1">
      <alignment horizontal="right" vertical="center" wrapText="1"/>
    </xf>
    <xf numFmtId="0" fontId="57" fillId="0" borderId="17" xfId="37" applyFont="1" applyFill="1" applyBorder="1" applyAlignment="1">
      <alignment horizontal="left" vertical="center" wrapText="1"/>
    </xf>
    <xf numFmtId="3" fontId="55" fillId="0" borderId="105" xfId="35" applyNumberFormat="1" applyFont="1" applyFill="1" applyBorder="1" applyAlignment="1">
      <alignment horizontal="right" vertical="center" wrapText="1"/>
    </xf>
    <xf numFmtId="3" fontId="37" fillId="0" borderId="105" xfId="35" applyNumberFormat="1" applyFont="1" applyFill="1" applyBorder="1" applyAlignment="1">
      <alignment vertical="center"/>
    </xf>
    <xf numFmtId="1" fontId="37" fillId="0" borderId="31" xfId="35" applyNumberFormat="1" applyFont="1" applyFill="1" applyBorder="1" applyAlignment="1">
      <alignment horizontal="left" vertical="center"/>
    </xf>
    <xf numFmtId="0" fontId="57" fillId="0" borderId="24" xfId="37" applyFont="1" applyFill="1" applyBorder="1" applyAlignment="1">
      <alignment horizontal="left" vertical="center" wrapText="1"/>
    </xf>
    <xf numFmtId="0" fontId="57" fillId="0" borderId="27" xfId="37" applyFont="1" applyFill="1" applyBorder="1" applyAlignment="1">
      <alignment vertical="center" wrapText="1"/>
    </xf>
    <xf numFmtId="3" fontId="55" fillId="0" borderId="102" xfId="35" applyNumberFormat="1" applyFont="1" applyFill="1" applyBorder="1" applyAlignment="1">
      <alignment horizontal="right" vertical="center" wrapText="1"/>
    </xf>
    <xf numFmtId="3" fontId="37" fillId="0" borderId="102" xfId="35" applyNumberFormat="1" applyFont="1" applyFill="1" applyBorder="1" applyAlignment="1">
      <alignment vertical="center"/>
    </xf>
    <xf numFmtId="3" fontId="37" fillId="0" borderId="26" xfId="35" applyNumberFormat="1" applyFont="1" applyFill="1" applyBorder="1" applyAlignment="1">
      <alignment horizontal="left"/>
    </xf>
    <xf numFmtId="0" fontId="28" fillId="0" borderId="27" xfId="35" applyFont="1" applyFill="1" applyBorder="1" applyAlignment="1">
      <alignment vertical="center" wrapText="1"/>
    </xf>
    <xf numFmtId="3" fontId="55" fillId="0" borderId="1" xfId="35" applyNumberFormat="1" applyFont="1" applyFill="1" applyBorder="1" applyAlignment="1">
      <alignment horizontal="right" vertical="center"/>
    </xf>
    <xf numFmtId="3" fontId="55" fillId="0" borderId="3" xfId="35" applyNumberFormat="1" applyFont="1" applyFill="1" applyBorder="1" applyAlignment="1">
      <alignment horizontal="right" vertical="center"/>
    </xf>
    <xf numFmtId="0" fontId="28" fillId="0" borderId="27" xfId="35" applyFont="1" applyFill="1" applyBorder="1" applyAlignment="1">
      <alignment horizontal="left" vertical="center"/>
    </xf>
    <xf numFmtId="3" fontId="1" fillId="0" borderId="0" xfId="35" applyNumberFormat="1" applyFont="1" applyFill="1" applyBorder="1"/>
    <xf numFmtId="0" fontId="1" fillId="0" borderId="0" xfId="35" applyFont="1" applyFill="1" applyBorder="1"/>
    <xf numFmtId="0" fontId="29" fillId="0" borderId="0" xfId="35" applyFont="1" applyFill="1" applyBorder="1"/>
    <xf numFmtId="0" fontId="35" fillId="0" borderId="0" xfId="35" applyFont="1" applyFill="1" applyAlignment="1">
      <alignment horizontal="center"/>
    </xf>
    <xf numFmtId="169" fontId="28" fillId="0" borderId="0" xfId="35" applyNumberFormat="1" applyFont="1" applyFill="1" applyAlignment="1">
      <alignment horizontal="center"/>
    </xf>
    <xf numFmtId="0" fontId="36" fillId="0" borderId="0" xfId="35" applyFont="1" applyFill="1" applyAlignment="1">
      <alignment horizontal="center"/>
    </xf>
    <xf numFmtId="0" fontId="1" fillId="0" borderId="0" xfId="35" applyFont="1" applyFill="1"/>
    <xf numFmtId="3" fontId="30" fillId="0" borderId="0" xfId="35" applyNumberFormat="1" applyFont="1" applyFill="1" applyBorder="1"/>
    <xf numFmtId="0" fontId="30" fillId="0" borderId="0" xfId="35" applyFont="1" applyFill="1" applyBorder="1" applyAlignment="1"/>
    <xf numFmtId="3" fontId="36" fillId="0" borderId="17" xfId="35" applyNumberFormat="1" applyFont="1" applyFill="1" applyBorder="1" applyAlignment="1">
      <alignment horizontal="center" vertical="center" wrapText="1"/>
    </xf>
    <xf numFmtId="3" fontId="36" fillId="0" borderId="110" xfId="35" applyNumberFormat="1" applyFont="1" applyFill="1" applyBorder="1" applyAlignment="1">
      <alignment horizontal="center" vertical="center" wrapText="1"/>
    </xf>
    <xf numFmtId="3" fontId="36" fillId="0" borderId="0" xfId="35" applyNumberFormat="1" applyFont="1" applyFill="1" applyBorder="1" applyAlignment="1">
      <alignment horizontal="center" vertical="center" wrapText="1"/>
    </xf>
    <xf numFmtId="3" fontId="30" fillId="0" borderId="1" xfId="39" applyNumberFormat="1" applyFont="1" applyFill="1" applyBorder="1" applyAlignment="1">
      <alignment horizontal="right" vertical="center"/>
    </xf>
    <xf numFmtId="3" fontId="30" fillId="0" borderId="29" xfId="39" applyNumberFormat="1" applyFont="1" applyFill="1" applyBorder="1" applyAlignment="1">
      <alignment horizontal="right" vertical="center"/>
    </xf>
    <xf numFmtId="3" fontId="30" fillId="0" borderId="0" xfId="39" applyNumberFormat="1" applyFont="1" applyFill="1" applyBorder="1" applyAlignment="1">
      <alignment horizontal="right" vertical="center"/>
    </xf>
    <xf numFmtId="3" fontId="30" fillId="0" borderId="23" xfId="39" applyNumberFormat="1" applyFont="1" applyFill="1" applyBorder="1" applyAlignment="1">
      <alignment horizontal="right" vertical="center"/>
    </xf>
    <xf numFmtId="3" fontId="30" fillId="0" borderId="111" xfId="39" applyNumberFormat="1" applyFont="1" applyFill="1" applyBorder="1" applyAlignment="1">
      <alignment horizontal="right" vertical="center"/>
    </xf>
    <xf numFmtId="4" fontId="37" fillId="0" borderId="97" xfId="36" applyNumberFormat="1" applyFont="1" applyFill="1" applyBorder="1" applyAlignment="1">
      <alignment vertical="center"/>
    </xf>
    <xf numFmtId="4" fontId="37" fillId="0" borderId="98" xfId="36" applyNumberFormat="1" applyFont="1" applyFill="1" applyBorder="1" applyAlignment="1">
      <alignment vertical="center"/>
    </xf>
    <xf numFmtId="4" fontId="37" fillId="0" borderId="94" xfId="36" applyNumberFormat="1" applyFont="1" applyFill="1" applyBorder="1" applyAlignment="1">
      <alignment vertical="center"/>
    </xf>
    <xf numFmtId="3" fontId="37" fillId="0" borderId="0" xfId="35" applyNumberFormat="1" applyFont="1" applyFill="1" applyBorder="1"/>
    <xf numFmtId="4" fontId="37" fillId="0" borderId="100" xfId="36" applyNumberFormat="1" applyFont="1" applyFill="1" applyBorder="1" applyAlignment="1">
      <alignment vertical="center"/>
    </xf>
    <xf numFmtId="4" fontId="37" fillId="0" borderId="75" xfId="36" applyNumberFormat="1" applyFont="1" applyFill="1" applyBorder="1" applyAlignment="1">
      <alignment vertical="center"/>
    </xf>
    <xf numFmtId="4" fontId="37" fillId="0" borderId="33" xfId="36" applyNumberFormat="1" applyFont="1" applyFill="1" applyBorder="1" applyAlignment="1">
      <alignment vertical="center"/>
    </xf>
    <xf numFmtId="4" fontId="37" fillId="0" borderId="93" xfId="36" applyNumberFormat="1" applyFont="1" applyFill="1" applyBorder="1" applyAlignment="1">
      <alignment vertical="center"/>
    </xf>
    <xf numFmtId="0" fontId="20" fillId="0" borderId="0" xfId="0" applyFont="1" applyBorder="1" applyAlignment="1">
      <alignment horizontal="center"/>
    </xf>
    <xf numFmtId="0" fontId="0" fillId="0" borderId="0" xfId="0" applyAlignment="1"/>
    <xf numFmtId="0" fontId="21" fillId="0" borderId="3" xfId="0" applyFont="1" applyBorder="1" applyAlignment="1">
      <alignment horizontal="left"/>
    </xf>
    <xf numFmtId="0" fontId="21" fillId="0" borderId="4" xfId="0" applyFont="1" applyBorder="1" applyAlignment="1">
      <alignment horizontal="left"/>
    </xf>
    <xf numFmtId="0" fontId="21" fillId="0" borderId="2" xfId="0" applyFont="1" applyBorder="1" applyAlignment="1">
      <alignment horizontal="left"/>
    </xf>
    <xf numFmtId="0" fontId="21" fillId="2" borderId="3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0" fillId="0" borderId="3" xfId="0" applyFont="1" applyBorder="1" applyAlignment="1">
      <alignment horizontal="left"/>
    </xf>
    <xf numFmtId="0" fontId="20" fillId="0" borderId="4" xfId="0" applyFont="1" applyBorder="1" applyAlignment="1">
      <alignment horizontal="left"/>
    </xf>
    <xf numFmtId="0" fontId="20" fillId="0" borderId="2" xfId="0" applyFont="1" applyBorder="1" applyAlignment="1">
      <alignment horizontal="left"/>
    </xf>
    <xf numFmtId="0" fontId="21" fillId="2" borderId="3" xfId="0" applyFont="1" applyFill="1" applyBorder="1" applyAlignment="1">
      <alignment horizontal="left"/>
    </xf>
    <xf numFmtId="0" fontId="21" fillId="2" borderId="4" xfId="0" applyFont="1" applyFill="1" applyBorder="1" applyAlignment="1">
      <alignment horizontal="left"/>
    </xf>
    <xf numFmtId="0" fontId="21" fillId="2" borderId="2" xfId="0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18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8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1" fillId="0" borderId="5" xfId="0" applyFont="1" applyBorder="1" applyAlignment="1">
      <alignment horizontal="right"/>
    </xf>
    <xf numFmtId="0" fontId="0" fillId="0" borderId="5" xfId="0" applyBorder="1" applyAlignment="1"/>
    <xf numFmtId="0" fontId="7" fillId="0" borderId="0" xfId="0" applyFont="1" applyAlignment="1">
      <alignment horizontal="center"/>
    </xf>
    <xf numFmtId="0" fontId="17" fillId="0" borderId="0" xfId="0" applyFont="1" applyBorder="1" applyAlignment="1">
      <alignment horizontal="right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12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14" fontId="7" fillId="0" borderId="0" xfId="0" applyNumberFormat="1" applyFont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1" fillId="0" borderId="0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12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/>
    </xf>
    <xf numFmtId="0" fontId="20" fillId="0" borderId="12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0" xfId="0" applyAlignment="1">
      <alignment horizontal="center"/>
    </xf>
    <xf numFmtId="0" fontId="2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/>
    <xf numFmtId="0" fontId="18" fillId="0" borderId="0" xfId="0" applyFont="1" applyAlignment="1">
      <alignment horizontal="center"/>
    </xf>
    <xf numFmtId="4" fontId="37" fillId="0" borderId="105" xfId="36" applyNumberFormat="1" applyFont="1" applyFill="1" applyBorder="1" applyAlignment="1">
      <alignment horizontal="right" vertical="center"/>
    </xf>
    <xf numFmtId="4" fontId="37" fillId="0" borderId="91" xfId="36" applyNumberFormat="1" applyFont="1" applyFill="1" applyBorder="1" applyAlignment="1">
      <alignment horizontal="right" vertical="center"/>
    </xf>
    <xf numFmtId="3" fontId="55" fillId="0" borderId="106" xfId="35" applyNumberFormat="1" applyFont="1" applyFill="1" applyBorder="1" applyAlignment="1">
      <alignment horizontal="right" vertical="center"/>
    </xf>
    <xf numFmtId="3" fontId="55" fillId="0" borderId="76" xfId="35" applyNumberFormat="1" applyFont="1" applyFill="1" applyBorder="1" applyAlignment="1">
      <alignment horizontal="right" vertical="center"/>
    </xf>
    <xf numFmtId="3" fontId="37" fillId="0" borderId="104" xfId="35" applyNumberFormat="1" applyFont="1" applyFill="1" applyBorder="1" applyAlignment="1">
      <alignment horizontal="center" vertical="center"/>
    </xf>
    <xf numFmtId="3" fontId="37" fillId="0" borderId="75" xfId="35" applyNumberFormat="1" applyFont="1" applyFill="1" applyBorder="1" applyAlignment="1">
      <alignment horizontal="center" vertical="center"/>
    </xf>
    <xf numFmtId="3" fontId="55" fillId="0" borderId="18" xfId="35" applyNumberFormat="1" applyFont="1" applyFill="1" applyBorder="1" applyAlignment="1">
      <alignment horizontal="right" vertical="center"/>
    </xf>
    <xf numFmtId="3" fontId="55" fillId="0" borderId="24" xfId="35" applyNumberFormat="1" applyFont="1" applyFill="1" applyBorder="1" applyAlignment="1">
      <alignment horizontal="right" vertical="center"/>
    </xf>
    <xf numFmtId="3" fontId="55" fillId="0" borderId="89" xfId="35" applyNumberFormat="1" applyFont="1" applyFill="1" applyBorder="1" applyAlignment="1">
      <alignment horizontal="right" vertical="center"/>
    </xf>
    <xf numFmtId="3" fontId="55" fillId="0" borderId="90" xfId="35" applyNumberFormat="1" applyFont="1" applyFill="1" applyBorder="1" applyAlignment="1">
      <alignment horizontal="right" vertical="center"/>
    </xf>
    <xf numFmtId="170" fontId="37" fillId="0" borderId="88" xfId="35" applyNumberFormat="1" applyFont="1" applyFill="1" applyBorder="1" applyAlignment="1">
      <alignment horizontal="center" vertical="center"/>
    </xf>
    <xf numFmtId="0" fontId="37" fillId="0" borderId="3" xfId="35" applyFont="1" applyFill="1" applyBorder="1" applyAlignment="1">
      <alignment horizontal="center" vertical="center"/>
    </xf>
    <xf numFmtId="0" fontId="37" fillId="0" borderId="85" xfId="35" applyFont="1" applyFill="1" applyBorder="1" applyAlignment="1">
      <alignment horizontal="center" vertical="center"/>
    </xf>
    <xf numFmtId="3" fontId="37" fillId="0" borderId="92" xfId="35" applyNumberFormat="1" applyFont="1" applyFill="1" applyBorder="1" applyAlignment="1">
      <alignment horizontal="right" vertical="center"/>
    </xf>
    <xf numFmtId="3" fontId="37" fillId="0" borderId="93" xfId="35" applyNumberFormat="1" applyFont="1" applyFill="1" applyBorder="1" applyAlignment="1">
      <alignment horizontal="right" vertical="center"/>
    </xf>
    <xf numFmtId="3" fontId="37" fillId="0" borderId="99" xfId="35" applyNumberFormat="1" applyFont="1" applyFill="1" applyBorder="1" applyAlignment="1">
      <alignment horizontal="right" vertical="center"/>
    </xf>
    <xf numFmtId="1" fontId="37" fillId="0" borderId="83" xfId="35" applyNumberFormat="1" applyFont="1" applyFill="1" applyBorder="1" applyAlignment="1">
      <alignment horizontal="left" vertical="center"/>
    </xf>
    <xf numFmtId="1" fontId="37" fillId="0" borderId="30" xfId="35" applyNumberFormat="1" applyFont="1" applyFill="1" applyBorder="1" applyAlignment="1">
      <alignment horizontal="left" vertical="center"/>
    </xf>
    <xf numFmtId="1" fontId="37" fillId="0" borderId="31" xfId="35" applyNumberFormat="1" applyFont="1" applyFill="1" applyBorder="1" applyAlignment="1">
      <alignment horizontal="left" vertical="center"/>
    </xf>
    <xf numFmtId="3" fontId="55" fillId="0" borderId="17" xfId="35" applyNumberFormat="1" applyFont="1" applyFill="1" applyBorder="1" applyAlignment="1">
      <alignment horizontal="right" vertical="center"/>
    </xf>
    <xf numFmtId="3" fontId="55" fillId="0" borderId="1" xfId="35" applyNumberFormat="1" applyFont="1" applyFill="1" applyBorder="1" applyAlignment="1">
      <alignment horizontal="right" vertical="center"/>
    </xf>
    <xf numFmtId="3" fontId="55" fillId="0" borderId="23" xfId="35" applyNumberFormat="1" applyFont="1" applyFill="1" applyBorder="1" applyAlignment="1">
      <alignment horizontal="right" vertical="center"/>
    </xf>
    <xf numFmtId="170" fontId="37" fillId="0" borderId="3" xfId="35" applyNumberFormat="1" applyFont="1" applyFill="1" applyBorder="1" applyAlignment="1">
      <alignment horizontal="center" vertical="center"/>
    </xf>
    <xf numFmtId="170" fontId="37" fillId="0" borderId="85" xfId="35" applyNumberFormat="1" applyFont="1" applyFill="1" applyBorder="1" applyAlignment="1">
      <alignment horizontal="center" vertical="center"/>
    </xf>
    <xf numFmtId="1" fontId="37" fillId="0" borderId="16" xfId="35" applyNumberFormat="1" applyFont="1" applyFill="1" applyBorder="1" applyAlignment="1">
      <alignment horizontal="left" vertical="center"/>
    </xf>
    <xf numFmtId="3" fontId="55" fillId="0" borderId="14" xfId="35" applyNumberFormat="1" applyFont="1" applyFill="1" applyBorder="1" applyAlignment="1">
      <alignment horizontal="right" vertical="center"/>
    </xf>
    <xf numFmtId="3" fontId="55" fillId="0" borderId="15" xfId="35" applyNumberFormat="1" applyFont="1" applyFill="1" applyBorder="1" applyAlignment="1">
      <alignment horizontal="right" vertical="center"/>
    </xf>
    <xf numFmtId="3" fontId="55" fillId="0" borderId="13" xfId="35" applyNumberFormat="1" applyFont="1" applyFill="1" applyBorder="1" applyAlignment="1">
      <alignment horizontal="right" vertical="center"/>
    </xf>
    <xf numFmtId="0" fontId="12" fillId="0" borderId="30" xfId="3" applyBorder="1"/>
    <xf numFmtId="0" fontId="12" fillId="0" borderId="31" xfId="3" applyBorder="1"/>
    <xf numFmtId="3" fontId="12" fillId="0" borderId="14" xfId="3" applyNumberFormat="1" applyBorder="1"/>
    <xf numFmtId="3" fontId="12" fillId="0" borderId="24" xfId="3" applyNumberFormat="1" applyBorder="1"/>
    <xf numFmtId="0" fontId="12" fillId="0" borderId="13" xfId="3" applyBorder="1"/>
    <xf numFmtId="0" fontId="12" fillId="0" borderId="90" xfId="3" applyBorder="1"/>
    <xf numFmtId="3" fontId="55" fillId="0" borderId="18" xfId="35" applyNumberFormat="1" applyFont="1" applyFill="1" applyBorder="1" applyAlignment="1">
      <alignment horizontal="right" vertical="center" wrapText="1"/>
    </xf>
    <xf numFmtId="3" fontId="55" fillId="0" borderId="14" xfId="35" applyNumberFormat="1" applyFont="1" applyFill="1" applyBorder="1" applyAlignment="1">
      <alignment horizontal="right" vertical="center" wrapText="1"/>
    </xf>
    <xf numFmtId="3" fontId="55" fillId="0" borderId="19" xfId="35" applyNumberFormat="1" applyFont="1" applyFill="1" applyBorder="1" applyAlignment="1">
      <alignment horizontal="right" vertical="center" wrapText="1"/>
    </xf>
    <xf numFmtId="3" fontId="55" fillId="0" borderId="21" xfId="35" applyNumberFormat="1" applyFont="1" applyFill="1" applyBorder="1" applyAlignment="1">
      <alignment horizontal="right" vertical="center" wrapText="1"/>
    </xf>
    <xf numFmtId="3" fontId="55" fillId="0" borderId="25" xfId="35" applyNumberFormat="1" applyFont="1" applyFill="1" applyBorder="1" applyAlignment="1">
      <alignment horizontal="right" vertical="center" wrapText="1"/>
    </xf>
    <xf numFmtId="170" fontId="31" fillId="0" borderId="88" xfId="36" applyNumberFormat="1" applyFont="1" applyFill="1" applyBorder="1" applyAlignment="1">
      <alignment horizontal="center" vertical="center" wrapText="1"/>
    </xf>
    <xf numFmtId="170" fontId="31" fillId="0" borderId="3" xfId="36" applyNumberFormat="1" applyFont="1" applyFill="1" applyBorder="1" applyAlignment="1">
      <alignment horizontal="center" vertical="center" wrapText="1"/>
    </xf>
    <xf numFmtId="170" fontId="31" fillId="0" borderId="97" xfId="36" applyNumberFormat="1" applyFont="1" applyFill="1" applyBorder="1" applyAlignment="1">
      <alignment horizontal="center" vertical="center" wrapText="1"/>
    </xf>
    <xf numFmtId="170" fontId="31" fillId="0" borderId="98" xfId="36" applyNumberFormat="1" applyFont="1" applyFill="1" applyBorder="1" applyAlignment="1">
      <alignment horizontal="center" vertical="center" wrapText="1"/>
    </xf>
    <xf numFmtId="170" fontId="31" fillId="0" borderId="94" xfId="36" applyNumberFormat="1" applyFont="1" applyFill="1" applyBorder="1" applyAlignment="1">
      <alignment horizontal="center" vertical="center" wrapText="1"/>
    </xf>
    <xf numFmtId="170" fontId="31" fillId="0" borderId="92" xfId="36" applyNumberFormat="1" applyFont="1" applyFill="1" applyBorder="1" applyAlignment="1">
      <alignment horizontal="center" vertical="center" wrapText="1"/>
    </xf>
    <xf numFmtId="170" fontId="31" fillId="0" borderId="93" xfId="36" applyNumberFormat="1" applyFont="1" applyFill="1" applyBorder="1" applyAlignment="1">
      <alignment horizontal="center" vertical="center" wrapText="1"/>
    </xf>
    <xf numFmtId="170" fontId="31" fillId="0" borderId="99" xfId="36" applyNumberFormat="1" applyFont="1" applyFill="1" applyBorder="1" applyAlignment="1">
      <alignment horizontal="center" vertical="center" wrapText="1"/>
    </xf>
    <xf numFmtId="0" fontId="55" fillId="0" borderId="3" xfId="35" applyFont="1" applyFill="1" applyBorder="1" applyAlignment="1">
      <alignment horizontal="center" vertical="center" wrapText="1"/>
    </xf>
    <xf numFmtId="0" fontId="55" fillId="0" borderId="4" xfId="35" applyFont="1" applyFill="1" applyBorder="1" applyAlignment="1">
      <alignment horizontal="center" vertical="center" wrapText="1"/>
    </xf>
    <xf numFmtId="0" fontId="55" fillId="0" borderId="2" xfId="35" applyFont="1" applyFill="1" applyBorder="1" applyAlignment="1">
      <alignment horizontal="center" vertical="center" wrapText="1"/>
    </xf>
    <xf numFmtId="3" fontId="55" fillId="0" borderId="18" xfId="35" applyNumberFormat="1" applyFont="1" applyFill="1" applyBorder="1" applyAlignment="1">
      <alignment horizontal="center" vertical="center" wrapText="1"/>
    </xf>
    <xf numFmtId="3" fontId="55" fillId="0" borderId="14" xfId="35" applyNumberFormat="1" applyFont="1" applyFill="1" applyBorder="1" applyAlignment="1">
      <alignment horizontal="center" vertical="center" wrapText="1"/>
    </xf>
    <xf numFmtId="3" fontId="55" fillId="0" borderId="24" xfId="35" applyNumberFormat="1" applyFont="1" applyFill="1" applyBorder="1" applyAlignment="1">
      <alignment horizontal="center" vertical="center" wrapText="1"/>
    </xf>
    <xf numFmtId="0" fontId="55" fillId="0" borderId="19" xfId="35" applyFont="1" applyFill="1" applyBorder="1" applyAlignment="1">
      <alignment horizontal="center" vertical="center" wrapText="1"/>
    </xf>
    <xf numFmtId="0" fontId="55" fillId="0" borderId="21" xfId="35" applyFont="1" applyFill="1" applyBorder="1" applyAlignment="1">
      <alignment horizontal="center" vertical="center" wrapText="1"/>
    </xf>
    <xf numFmtId="0" fontId="55" fillId="0" borderId="25" xfId="35" applyFont="1" applyFill="1" applyBorder="1" applyAlignment="1">
      <alignment horizontal="center" vertical="center" wrapText="1"/>
    </xf>
    <xf numFmtId="170" fontId="31" fillId="0" borderId="17" xfId="36" applyNumberFormat="1" applyFont="1" applyFill="1" applyBorder="1" applyAlignment="1">
      <alignment horizontal="center" vertical="center" wrapText="1"/>
    </xf>
    <xf numFmtId="170" fontId="31" fillId="0" borderId="1" xfId="36" applyNumberFormat="1" applyFont="1" applyFill="1" applyBorder="1" applyAlignment="1">
      <alignment horizontal="center" vertical="center" wrapText="1"/>
    </xf>
    <xf numFmtId="0" fontId="28" fillId="0" borderId="0" xfId="35" applyFont="1" applyFill="1" applyAlignment="1">
      <alignment horizontal="center" vertical="center"/>
    </xf>
    <xf numFmtId="14" fontId="7" fillId="0" borderId="0" xfId="3" applyNumberFormat="1" applyFont="1" applyFill="1" applyAlignment="1">
      <alignment horizontal="center"/>
    </xf>
    <xf numFmtId="1" fontId="55" fillId="0" borderId="16" xfId="35" applyNumberFormat="1" applyFont="1" applyFill="1" applyBorder="1" applyAlignment="1">
      <alignment horizontal="center" vertical="center" wrapText="1"/>
    </xf>
    <xf numFmtId="1" fontId="55" fillId="0" borderId="20" xfId="35" applyNumberFormat="1" applyFont="1" applyFill="1" applyBorder="1" applyAlignment="1">
      <alignment horizontal="center" vertical="center" wrapText="1"/>
    </xf>
    <xf numFmtId="1" fontId="55" fillId="0" borderId="22" xfId="35" applyNumberFormat="1" applyFont="1" applyFill="1" applyBorder="1" applyAlignment="1">
      <alignment horizontal="center" vertical="center" wrapText="1"/>
    </xf>
    <xf numFmtId="0" fontId="55" fillId="0" borderId="18" xfId="35" applyFont="1" applyFill="1" applyBorder="1" applyAlignment="1">
      <alignment horizontal="center" vertical="center" wrapText="1"/>
    </xf>
    <xf numFmtId="0" fontId="55" fillId="0" borderId="14" xfId="35" applyFont="1" applyFill="1" applyBorder="1" applyAlignment="1">
      <alignment horizontal="center" vertical="center" wrapText="1"/>
    </xf>
    <xf numFmtId="0" fontId="55" fillId="0" borderId="24" xfId="35" applyFont="1" applyFill="1" applyBorder="1" applyAlignment="1">
      <alignment horizontal="center" vertical="center" wrapText="1"/>
    </xf>
    <xf numFmtId="0" fontId="31" fillId="0" borderId="17" xfId="35" applyFont="1" applyFill="1" applyBorder="1" applyAlignment="1">
      <alignment horizontal="center" vertical="center" wrapText="1"/>
    </xf>
    <xf numFmtId="0" fontId="55" fillId="0" borderId="17" xfId="35" applyFont="1" applyFill="1" applyBorder="1" applyAlignment="1">
      <alignment horizontal="center" vertical="center" wrapText="1"/>
    </xf>
    <xf numFmtId="0" fontId="1" fillId="0" borderId="20" xfId="35" applyFont="1" applyFill="1" applyBorder="1" applyAlignment="1">
      <alignment horizontal="center"/>
    </xf>
    <xf numFmtId="0" fontId="1" fillId="0" borderId="1" xfId="35" applyFont="1" applyFill="1" applyBorder="1" applyAlignment="1">
      <alignment horizontal="center"/>
    </xf>
    <xf numFmtId="0" fontId="28" fillId="0" borderId="94" xfId="35" applyFont="1" applyFill="1" applyBorder="1" applyAlignment="1">
      <alignment horizontal="left"/>
    </xf>
    <xf numFmtId="0" fontId="28" fillId="0" borderId="95" xfId="35" applyFont="1" applyFill="1" applyBorder="1" applyAlignment="1">
      <alignment horizontal="left"/>
    </xf>
    <xf numFmtId="0" fontId="28" fillId="0" borderId="84" xfId="35" applyFont="1" applyFill="1" applyBorder="1" applyAlignment="1">
      <alignment horizontal="left"/>
    </xf>
    <xf numFmtId="170" fontId="37" fillId="4" borderId="3" xfId="35" applyNumberFormat="1" applyFont="1" applyFill="1" applyBorder="1" applyAlignment="1">
      <alignment horizontal="center" vertical="center"/>
    </xf>
    <xf numFmtId="0" fontId="37" fillId="4" borderId="3" xfId="35" applyFont="1" applyFill="1" applyBorder="1" applyAlignment="1">
      <alignment horizontal="center" vertical="center"/>
    </xf>
    <xf numFmtId="0" fontId="35" fillId="0" borderId="0" xfId="35" applyFont="1" applyFill="1" applyAlignment="1">
      <alignment horizontal="center"/>
    </xf>
    <xf numFmtId="169" fontId="28" fillId="0" borderId="0" xfId="35" applyNumberFormat="1" applyFont="1" applyFill="1" applyAlignment="1">
      <alignment horizontal="center"/>
    </xf>
    <xf numFmtId="0" fontId="28" fillId="0" borderId="97" xfId="35" applyFont="1" applyFill="1" applyBorder="1" applyAlignment="1">
      <alignment horizontal="left" vertical="center"/>
    </xf>
    <xf numFmtId="0" fontId="28" fillId="0" borderId="109" xfId="35" applyFont="1" applyFill="1" applyBorder="1" applyAlignment="1">
      <alignment horizontal="left" vertical="center"/>
    </xf>
    <xf numFmtId="0" fontId="28" fillId="0" borderId="86" xfId="35" applyFont="1" applyFill="1" applyBorder="1" applyAlignment="1">
      <alignment horizontal="left" vertical="center"/>
    </xf>
    <xf numFmtId="1" fontId="37" fillId="0" borderId="20" xfId="35" applyNumberFormat="1" applyFont="1" applyFill="1" applyBorder="1" applyAlignment="1">
      <alignment horizontal="left" vertical="center"/>
    </xf>
    <xf numFmtId="1" fontId="37" fillId="0" borderId="22" xfId="35" applyNumberFormat="1" applyFont="1" applyFill="1" applyBorder="1" applyAlignment="1">
      <alignment horizontal="left" vertical="center"/>
    </xf>
    <xf numFmtId="3" fontId="37" fillId="0" borderId="108" xfId="35" applyNumberFormat="1" applyFont="1" applyFill="1" applyBorder="1" applyAlignment="1">
      <alignment horizontal="right" vertical="center"/>
    </xf>
    <xf numFmtId="3" fontId="37" fillId="0" borderId="107" xfId="35" applyNumberFormat="1" applyFont="1" applyFill="1" applyBorder="1" applyAlignment="1">
      <alignment horizontal="right" vertical="center"/>
    </xf>
    <xf numFmtId="170" fontId="31" fillId="0" borderId="107" xfId="36" applyNumberFormat="1" applyFont="1" applyFill="1" applyBorder="1" applyAlignment="1">
      <alignment horizontal="center" vertical="center" wrapText="1"/>
    </xf>
    <xf numFmtId="3" fontId="55" fillId="0" borderId="19" xfId="35" applyNumberFormat="1" applyFont="1" applyFill="1" applyBorder="1" applyAlignment="1">
      <alignment horizontal="center" vertical="center" wrapText="1"/>
    </xf>
    <xf numFmtId="3" fontId="55" fillId="0" borderId="21" xfId="35" applyNumberFormat="1" applyFont="1" applyFill="1" applyBorder="1" applyAlignment="1">
      <alignment horizontal="center" vertical="center" wrapText="1"/>
    </xf>
    <xf numFmtId="3" fontId="55" fillId="0" borderId="25" xfId="35" applyNumberFormat="1" applyFont="1" applyFill="1" applyBorder="1" applyAlignment="1">
      <alignment horizontal="center" vertical="center" wrapText="1"/>
    </xf>
    <xf numFmtId="0" fontId="28" fillId="0" borderId="0" xfId="35" applyFont="1" applyFill="1" applyAlignment="1">
      <alignment horizontal="center"/>
    </xf>
    <xf numFmtId="14" fontId="28" fillId="0" borderId="0" xfId="35" applyNumberFormat="1" applyFont="1" applyFill="1" applyAlignment="1">
      <alignment horizontal="center"/>
    </xf>
    <xf numFmtId="0" fontId="18" fillId="0" borderId="1" xfId="0" applyFont="1" applyFill="1" applyBorder="1" applyAlignment="1">
      <alignment horizontal="left"/>
    </xf>
    <xf numFmtId="0" fontId="11" fillId="0" borderId="1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7" fillId="0" borderId="8" xfId="3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3" xfId="31" applyFont="1" applyBorder="1" applyAlignment="1">
      <alignment horizontal="center" vertical="center"/>
    </xf>
    <xf numFmtId="0" fontId="7" fillId="0" borderId="4" xfId="31" applyFont="1" applyBorder="1" applyAlignment="1">
      <alignment horizontal="center" vertical="center"/>
    </xf>
    <xf numFmtId="0" fontId="7" fillId="0" borderId="2" xfId="31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0" fillId="0" borderId="2" xfId="0" applyBorder="1" applyAlignment="1"/>
    <xf numFmtId="0" fontId="11" fillId="0" borderId="8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7" fillId="0" borderId="0" xfId="31" applyFont="1" applyAlignment="1">
      <alignment horizontal="center"/>
    </xf>
    <xf numFmtId="0" fontId="0" fillId="0" borderId="0" xfId="0" applyAlignment="1">
      <alignment horizontal="left"/>
    </xf>
    <xf numFmtId="0" fontId="0" fillId="0" borderId="11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0" xfId="0" applyBorder="1" applyAlignment="1">
      <alignment horizontal="left"/>
    </xf>
    <xf numFmtId="0" fontId="12" fillId="0" borderId="13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11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38" fillId="0" borderId="0" xfId="0" applyFont="1" applyAlignment="1">
      <alignment horizontal="right" vertical="center"/>
    </xf>
    <xf numFmtId="0" fontId="52" fillId="0" borderId="0" xfId="0" applyFont="1" applyAlignment="1">
      <alignment horizontal="center" vertical="center"/>
    </xf>
    <xf numFmtId="14" fontId="5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8" fillId="0" borderId="0" xfId="0" applyFont="1" applyAlignment="1">
      <alignment horizontal="left" vertical="center" wrapText="1"/>
    </xf>
    <xf numFmtId="0" fontId="14" fillId="0" borderId="0" xfId="29" applyFont="1" applyAlignment="1">
      <alignment horizontal="right" vertical="center"/>
    </xf>
    <xf numFmtId="0" fontId="14" fillId="0" borderId="0" xfId="29" applyAlignment="1">
      <alignment horizontal="right" vertical="center"/>
    </xf>
    <xf numFmtId="0" fontId="14" fillId="0" borderId="0" xfId="29" applyFont="1" applyBorder="1" applyAlignment="1">
      <alignment horizontal="right" vertical="center"/>
    </xf>
    <xf numFmtId="0" fontId="14" fillId="0" borderId="0" xfId="29" applyBorder="1" applyAlignment="1">
      <alignment horizontal="right" vertical="center"/>
    </xf>
    <xf numFmtId="0" fontId="13" fillId="0" borderId="0" xfId="29" applyFont="1" applyAlignment="1">
      <alignment horizontal="center" vertical="center"/>
    </xf>
    <xf numFmtId="0" fontId="0" fillId="0" borderId="0" xfId="0" applyAlignment="1">
      <alignment vertical="center"/>
    </xf>
    <xf numFmtId="0" fontId="13" fillId="0" borderId="64" xfId="29" applyFont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15" fillId="0" borderId="71" xfId="29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 wrapText="1"/>
    </xf>
    <xf numFmtId="0" fontId="0" fillId="0" borderId="73" xfId="0" applyBorder="1" applyAlignment="1">
      <alignment horizontal="center" vertical="center" wrapText="1"/>
    </xf>
    <xf numFmtId="0" fontId="7" fillId="0" borderId="59" xfId="0" applyFont="1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13" fillId="0" borderId="0" xfId="29" applyFont="1" applyBorder="1" applyAlignment="1">
      <alignment horizontal="center" vertical="center"/>
    </xf>
    <xf numFmtId="0" fontId="13" fillId="0" borderId="0" xfId="29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4" fillId="0" borderId="69" xfId="29" applyBorder="1" applyAlignment="1">
      <alignment horizontal="left" vertical="center" wrapText="1"/>
    </xf>
    <xf numFmtId="0" fontId="14" fillId="0" borderId="70" xfId="29" applyBorder="1" applyAlignment="1">
      <alignment horizontal="left" vertical="center" wrapText="1"/>
    </xf>
    <xf numFmtId="0" fontId="0" fillId="0" borderId="70" xfId="0" applyBorder="1" applyAlignment="1">
      <alignment vertical="center"/>
    </xf>
    <xf numFmtId="0" fontId="0" fillId="0" borderId="74" xfId="0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63" xfId="0" applyBorder="1" applyAlignment="1">
      <alignment vertical="center"/>
    </xf>
    <xf numFmtId="0" fontId="0" fillId="0" borderId="76" xfId="0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Fill="1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Border="1"/>
    <xf numFmtId="3" fontId="0" fillId="0" borderId="12" xfId="0" applyNumberFormat="1" applyBorder="1" applyAlignment="1"/>
    <xf numFmtId="3" fontId="0" fillId="0" borderId="9" xfId="0" applyNumberFormat="1" applyBorder="1" applyAlignment="1"/>
    <xf numFmtId="0" fontId="7" fillId="0" borderId="0" xfId="0" applyFont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41" fillId="0" borderId="1" xfId="0" applyFont="1" applyBorder="1" applyAlignment="1">
      <alignment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42" fillId="0" borderId="1" xfId="0" applyFont="1" applyBorder="1" applyAlignment="1">
      <alignment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4" fontId="19" fillId="0" borderId="49" xfId="3" applyNumberFormat="1" applyFont="1" applyFill="1" applyBorder="1" applyAlignment="1">
      <alignment horizontal="center" vertical="center"/>
    </xf>
    <xf numFmtId="0" fontId="3" fillId="0" borderId="50" xfId="3" applyFont="1" applyFill="1" applyBorder="1" applyAlignment="1">
      <alignment horizontal="center" vertical="center"/>
    </xf>
    <xf numFmtId="0" fontId="18" fillId="0" borderId="81" xfId="3" applyFont="1" applyFill="1" applyBorder="1" applyAlignment="1">
      <alignment vertical="center"/>
    </xf>
    <xf numFmtId="0" fontId="53" fillId="0" borderId="45" xfId="0" applyFont="1" applyBorder="1" applyAlignment="1">
      <alignment vertical="center"/>
    </xf>
    <xf numFmtId="3" fontId="48" fillId="0" borderId="46" xfId="2" applyNumberFormat="1" applyFont="1" applyBorder="1" applyAlignment="1">
      <alignment vertical="center" wrapText="1"/>
    </xf>
    <xf numFmtId="3" fontId="48" fillId="0" borderId="45" xfId="2" applyNumberFormat="1" applyFont="1" applyBorder="1" applyAlignment="1">
      <alignment vertical="center" wrapText="1"/>
    </xf>
    <xf numFmtId="14" fontId="45" fillId="0" borderId="49" xfId="2" applyNumberFormat="1" applyFont="1" applyBorder="1" applyAlignment="1">
      <alignment horizontal="center" vertical="center" wrapText="1" shrinkToFit="1"/>
    </xf>
    <xf numFmtId="0" fontId="3" fillId="0" borderId="50" xfId="2" applyFont="1" applyBorder="1" applyAlignment="1">
      <alignment horizontal="center" vertical="center" wrapText="1"/>
    </xf>
    <xf numFmtId="14" fontId="19" fillId="0" borderId="37" xfId="2" applyNumberFormat="1" applyFont="1" applyBorder="1" applyAlignment="1">
      <alignment horizontal="center" vertical="center" wrapText="1"/>
    </xf>
    <xf numFmtId="0" fontId="19" fillId="0" borderId="37" xfId="2" applyFont="1" applyBorder="1" applyAlignment="1">
      <alignment horizontal="center" vertical="center" wrapText="1"/>
    </xf>
    <xf numFmtId="3" fontId="7" fillId="0" borderId="0" xfId="0" applyNumberFormat="1" applyFont="1" applyBorder="1"/>
    <xf numFmtId="3" fontId="7" fillId="0" borderId="2" xfId="0" applyNumberFormat="1" applyFont="1" applyBorder="1"/>
  </cellXfs>
  <cellStyles count="40">
    <cellStyle name="Ezres 2" xfId="1"/>
    <cellStyle name="Normál" xfId="0" builtinId="0"/>
    <cellStyle name="Normál 10" xfId="38"/>
    <cellStyle name="Normál 2" xfId="2"/>
    <cellStyle name="Normál 2 2" xfId="3"/>
    <cellStyle name="Normál 2 3" xfId="4"/>
    <cellStyle name="Normál 2 4" xfId="26"/>
    <cellStyle name="Normál 2 5" xfId="30"/>
    <cellStyle name="Normál 2 6" xfId="31"/>
    <cellStyle name="Normál 2 6 2" xfId="37"/>
    <cellStyle name="Normál 3" xfId="5"/>
    <cellStyle name="Normál 3 2" xfId="6"/>
    <cellStyle name="Normál 3 3" xfId="7"/>
    <cellStyle name="Normál 3 4" xfId="8"/>
    <cellStyle name="Normál 4" xfId="9"/>
    <cellStyle name="Normál 4 2" xfId="10"/>
    <cellStyle name="Normál 4 3" xfId="11"/>
    <cellStyle name="Normál 4 4" xfId="12"/>
    <cellStyle name="Normál 5" xfId="13"/>
    <cellStyle name="Normál 5 2" xfId="14"/>
    <cellStyle name="Normál 5 3" xfId="15"/>
    <cellStyle name="Normál 5 4" xfId="16"/>
    <cellStyle name="Normál 6" xfId="17"/>
    <cellStyle name="Normál 6 2" xfId="18"/>
    <cellStyle name="Normál 6 3" xfId="19"/>
    <cellStyle name="Normál 6 4" xfId="20"/>
    <cellStyle name="Normál 7" xfId="21"/>
    <cellStyle name="Normál 8" xfId="22"/>
    <cellStyle name="Normál 9" xfId="27"/>
    <cellStyle name="Normál 9 2" xfId="32"/>
    <cellStyle name="Normál 9 2 2" xfId="35"/>
    <cellStyle name="Normál_Munka6 2" xfId="29"/>
    <cellStyle name="Pénznem 2" xfId="23"/>
    <cellStyle name="Pénznem 2 2" xfId="24"/>
    <cellStyle name="Pénznem 2 3" xfId="36"/>
    <cellStyle name="Pénznem 3" xfId="25"/>
    <cellStyle name="Pénznem 4" xfId="28"/>
    <cellStyle name="Pénznem 4 2" xfId="33"/>
    <cellStyle name="Pénznem 4 3" xfId="39"/>
    <cellStyle name="Százalék" xfId="34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Q92"/>
  <sheetViews>
    <sheetView view="pageLayout" topLeftCell="A64" workbookViewId="0">
      <selection activeCell="F73" sqref="F73:F79"/>
    </sheetView>
  </sheetViews>
  <sheetFormatPr defaultRowHeight="13.2"/>
  <cols>
    <col min="2" max="2" width="23.5546875" customWidth="1"/>
    <col min="3" max="3" width="10.6640625" customWidth="1"/>
    <col min="4" max="4" width="11.109375" customWidth="1"/>
    <col min="5" max="5" width="10.5546875" customWidth="1"/>
    <col min="6" max="6" width="12.6640625" customWidth="1"/>
    <col min="7" max="7" width="11.33203125" customWidth="1"/>
    <col min="8" max="8" width="12.33203125" customWidth="1"/>
    <col min="9" max="9" width="10.88671875" customWidth="1"/>
    <col min="11" max="11" width="11" customWidth="1"/>
    <col min="12" max="12" width="9.6640625" customWidth="1"/>
    <col min="13" max="13" width="9.88671875" customWidth="1"/>
    <col min="14" max="14" width="10.21875" customWidth="1"/>
    <col min="15" max="15" width="10.77734375" customWidth="1"/>
    <col min="17" max="17" width="12.21875" customWidth="1"/>
  </cols>
  <sheetData>
    <row r="1" spans="1:13">
      <c r="A1" s="746" t="s">
        <v>744</v>
      </c>
      <c r="B1" s="746"/>
      <c r="C1" s="746"/>
      <c r="D1" s="746"/>
      <c r="E1" s="746"/>
      <c r="F1" s="746"/>
      <c r="G1" s="746"/>
      <c r="M1" s="21" t="s">
        <v>745</v>
      </c>
    </row>
    <row r="2" spans="1:13" ht="16.5" customHeight="1">
      <c r="A2" s="727" t="s">
        <v>170</v>
      </c>
      <c r="B2" s="727"/>
      <c r="C2" s="727"/>
      <c r="D2" s="727"/>
      <c r="E2" s="727"/>
      <c r="F2" s="727"/>
      <c r="G2" s="727"/>
      <c r="H2" s="701"/>
      <c r="I2" s="701"/>
      <c r="J2" s="701"/>
      <c r="K2" s="701"/>
      <c r="L2" s="701"/>
      <c r="M2" s="701"/>
    </row>
    <row r="3" spans="1:13" ht="16.5" customHeight="1">
      <c r="A3" s="727" t="s">
        <v>513</v>
      </c>
      <c r="B3" s="701"/>
      <c r="C3" s="701"/>
      <c r="D3" s="701"/>
      <c r="E3" s="701"/>
      <c r="F3" s="701"/>
      <c r="G3" s="701"/>
      <c r="H3" s="701"/>
      <c r="I3" s="701"/>
      <c r="J3" s="701"/>
      <c r="K3" s="701"/>
      <c r="L3" s="701"/>
      <c r="M3" s="701"/>
    </row>
    <row r="4" spans="1:13" ht="16.5" customHeight="1">
      <c r="A4" s="246"/>
      <c r="B4" s="246"/>
      <c r="C4" s="246"/>
      <c r="E4" s="246"/>
      <c r="F4" s="257">
        <v>41455</v>
      </c>
      <c r="G4" s="246"/>
    </row>
    <row r="5" spans="1:13" ht="12" customHeight="1">
      <c r="A5" s="725" t="s">
        <v>512</v>
      </c>
      <c r="B5" s="725"/>
      <c r="C5" s="725"/>
      <c r="D5" s="725"/>
      <c r="E5" s="725"/>
      <c r="F5" s="725"/>
      <c r="G5" s="725"/>
      <c r="H5" s="726"/>
      <c r="I5" s="726"/>
      <c r="J5" s="726"/>
      <c r="K5" s="726"/>
      <c r="L5" s="726"/>
      <c r="M5" s="726"/>
    </row>
    <row r="6" spans="1:13" ht="17.25" customHeight="1">
      <c r="A6" s="732" t="s">
        <v>151</v>
      </c>
      <c r="B6" s="733"/>
      <c r="C6" s="734"/>
      <c r="D6" s="749" t="s">
        <v>150</v>
      </c>
      <c r="E6" s="750"/>
      <c r="F6" s="751"/>
      <c r="G6" s="747" t="s">
        <v>165</v>
      </c>
      <c r="H6" s="719" t="s">
        <v>526</v>
      </c>
      <c r="I6" s="720"/>
      <c r="J6" s="721"/>
      <c r="K6" s="719" t="s">
        <v>164</v>
      </c>
      <c r="L6" s="720"/>
      <c r="M6" s="721"/>
    </row>
    <row r="7" spans="1:13" ht="9" customHeight="1">
      <c r="A7" s="742"/>
      <c r="B7" s="743"/>
      <c r="C7" s="744"/>
      <c r="D7" s="752"/>
      <c r="E7" s="753"/>
      <c r="F7" s="754"/>
      <c r="G7" s="748"/>
      <c r="H7" s="722"/>
      <c r="I7" s="723"/>
      <c r="J7" s="724"/>
      <c r="K7" s="722"/>
      <c r="L7" s="723"/>
      <c r="M7" s="724"/>
    </row>
    <row r="8" spans="1:13" ht="29.4" customHeight="1">
      <c r="A8" s="465"/>
      <c r="B8" s="466"/>
      <c r="C8" s="467"/>
      <c r="D8" s="50" t="s">
        <v>231</v>
      </c>
      <c r="E8" s="50" t="s">
        <v>525</v>
      </c>
      <c r="F8" s="50" t="s">
        <v>743</v>
      </c>
      <c r="G8" s="469"/>
      <c r="H8" s="50" t="s">
        <v>231</v>
      </c>
      <c r="I8" s="50" t="s">
        <v>525</v>
      </c>
      <c r="J8" s="50" t="s">
        <v>743</v>
      </c>
      <c r="K8" s="50" t="s">
        <v>231</v>
      </c>
      <c r="L8" s="50" t="s">
        <v>525</v>
      </c>
      <c r="M8" s="50" t="s">
        <v>743</v>
      </c>
    </row>
    <row r="9" spans="1:13">
      <c r="A9" s="711" t="s">
        <v>511</v>
      </c>
      <c r="B9" s="712"/>
      <c r="C9" s="713"/>
      <c r="D9" s="30"/>
      <c r="E9" s="30"/>
      <c r="F9" s="30">
        <v>1297</v>
      </c>
      <c r="G9" s="30"/>
      <c r="H9" s="30"/>
      <c r="I9" s="30"/>
      <c r="J9" s="30">
        <v>68</v>
      </c>
      <c r="K9" s="31">
        <f>+D9+G9+H9</f>
        <v>0</v>
      </c>
      <c r="L9" s="31">
        <f>+E9+I9</f>
        <v>0</v>
      </c>
      <c r="M9" s="31">
        <f>+F9+J9</f>
        <v>1365</v>
      </c>
    </row>
    <row r="10" spans="1:13">
      <c r="A10" s="702" t="s">
        <v>169</v>
      </c>
      <c r="B10" s="703"/>
      <c r="C10" s="704"/>
      <c r="D10" s="38"/>
      <c r="E10" s="38"/>
      <c r="F10" s="38"/>
      <c r="G10" s="27"/>
      <c r="H10" s="26"/>
      <c r="I10" s="470"/>
      <c r="J10" s="470"/>
      <c r="K10" s="31">
        <f t="shared" ref="K10:K11" si="0">+D10+G10+H10</f>
        <v>0</v>
      </c>
      <c r="L10" s="31">
        <f t="shared" ref="L10:L11" si="1">+E10+I10</f>
        <v>0</v>
      </c>
      <c r="M10" s="31">
        <f t="shared" ref="M10:M11" si="2">+F10+J10</f>
        <v>0</v>
      </c>
    </row>
    <row r="11" spans="1:13">
      <c r="A11" s="714" t="s">
        <v>168</v>
      </c>
      <c r="B11" s="715"/>
      <c r="C11" s="716"/>
      <c r="D11" s="27"/>
      <c r="E11" s="471"/>
      <c r="F11" s="471"/>
      <c r="G11" s="27"/>
      <c r="H11" s="31">
        <v>2500</v>
      </c>
      <c r="I11" s="31">
        <v>2500</v>
      </c>
      <c r="J11" s="31">
        <v>2346</v>
      </c>
      <c r="K11" s="31">
        <f t="shared" si="0"/>
        <v>2500</v>
      </c>
      <c r="L11" s="31">
        <f t="shared" si="1"/>
        <v>2500</v>
      </c>
      <c r="M11" s="31">
        <f t="shared" si="2"/>
        <v>2346</v>
      </c>
    </row>
    <row r="12" spans="1:13" ht="15" customHeight="1">
      <c r="A12" s="708" t="s">
        <v>167</v>
      </c>
      <c r="B12" s="709"/>
      <c r="C12" s="710"/>
      <c r="D12" s="37">
        <f>SUM(D9:D11)</f>
        <v>0</v>
      </c>
      <c r="E12" s="37">
        <f t="shared" ref="E12:F12" si="3">SUM(E9:E11)</f>
        <v>0</v>
      </c>
      <c r="F12" s="37">
        <f t="shared" si="3"/>
        <v>1297</v>
      </c>
      <c r="G12" s="37">
        <f>SUM(G9:G11)</f>
        <v>0</v>
      </c>
      <c r="H12" s="37">
        <f>SUM(H9:H11)</f>
        <v>2500</v>
      </c>
      <c r="I12" s="37">
        <f t="shared" ref="I12:J12" si="4">SUM(I9:I11)</f>
        <v>2500</v>
      </c>
      <c r="J12" s="37">
        <f t="shared" si="4"/>
        <v>2414</v>
      </c>
      <c r="K12" s="37">
        <f>SUM(K9:K11)</f>
        <v>2500</v>
      </c>
      <c r="L12" s="37">
        <f t="shared" ref="L12:M12" si="5">SUM(L9:L11)</f>
        <v>2500</v>
      </c>
      <c r="M12" s="37">
        <f t="shared" si="5"/>
        <v>3711</v>
      </c>
    </row>
    <row r="13" spans="1:13" ht="15" customHeight="1">
      <c r="A13" s="34"/>
      <c r="B13" s="29"/>
      <c r="C13" s="29"/>
      <c r="D13" s="29"/>
      <c r="E13" s="29"/>
      <c r="F13" s="29"/>
      <c r="G13" s="29"/>
    </row>
    <row r="14" spans="1:13" ht="15" customHeight="1">
      <c r="A14" s="745"/>
      <c r="B14" s="745"/>
      <c r="C14" s="745"/>
      <c r="D14" s="745"/>
      <c r="E14" s="29"/>
      <c r="F14" s="29"/>
      <c r="G14" s="180" t="s">
        <v>515</v>
      </c>
    </row>
    <row r="15" spans="1:13" ht="15" customHeight="1">
      <c r="A15" s="700" t="s">
        <v>170</v>
      </c>
      <c r="B15" s="700"/>
      <c r="C15" s="700"/>
      <c r="D15" s="700"/>
      <c r="E15" s="701"/>
      <c r="F15" s="701"/>
      <c r="G15" s="701"/>
    </row>
    <row r="16" spans="1:13" ht="15" customHeight="1">
      <c r="A16" s="175"/>
      <c r="B16" s="700" t="s">
        <v>514</v>
      </c>
      <c r="C16" s="701"/>
      <c r="D16" s="701"/>
      <c r="E16" s="701"/>
      <c r="F16" s="701"/>
      <c r="G16" s="701"/>
    </row>
    <row r="17" spans="1:7" ht="15" customHeight="1">
      <c r="A17" s="243"/>
      <c r="B17" s="243"/>
      <c r="C17" s="244"/>
      <c r="D17" s="258">
        <v>41455</v>
      </c>
      <c r="E17" s="244"/>
      <c r="F17" s="244"/>
      <c r="G17" s="244"/>
    </row>
    <row r="18" spans="1:7" ht="15" customHeight="1">
      <c r="A18" s="725"/>
      <c r="B18" s="725"/>
      <c r="C18" s="725"/>
      <c r="D18" s="725"/>
      <c r="E18" s="29"/>
      <c r="F18" s="180" t="s">
        <v>23</v>
      </c>
    </row>
    <row r="19" spans="1:7" ht="15" customHeight="1">
      <c r="A19" s="732" t="s">
        <v>151</v>
      </c>
      <c r="B19" s="733"/>
      <c r="C19" s="734"/>
      <c r="D19" s="717" t="s">
        <v>150</v>
      </c>
      <c r="E19" s="718"/>
      <c r="F19" s="718"/>
      <c r="G19" s="497"/>
    </row>
    <row r="20" spans="1:7" ht="35.4" customHeight="1">
      <c r="A20" s="182"/>
      <c r="B20" s="183"/>
      <c r="C20" s="184"/>
      <c r="D20" s="50" t="s">
        <v>231</v>
      </c>
      <c r="E20" s="50" t="s">
        <v>525</v>
      </c>
      <c r="F20" s="50" t="s">
        <v>743</v>
      </c>
    </row>
    <row r="21" spans="1:7" ht="15" customHeight="1">
      <c r="A21" s="729" t="s">
        <v>159</v>
      </c>
      <c r="B21" s="730"/>
      <c r="C21" s="731"/>
      <c r="D21" s="31">
        <v>170000</v>
      </c>
      <c r="E21" s="31">
        <v>170000</v>
      </c>
      <c r="F21" s="31">
        <v>84156</v>
      </c>
    </row>
    <row r="22" spans="1:7" ht="15" customHeight="1">
      <c r="A22" s="702" t="s">
        <v>158</v>
      </c>
      <c r="B22" s="703"/>
      <c r="C22" s="704"/>
      <c r="D22" s="31">
        <v>190000</v>
      </c>
      <c r="E22" s="31">
        <v>190000</v>
      </c>
      <c r="F22" s="31">
        <v>126150</v>
      </c>
    </row>
    <row r="23" spans="1:7" ht="15" customHeight="1">
      <c r="A23" s="702" t="s">
        <v>157</v>
      </c>
      <c r="B23" s="703"/>
      <c r="C23" s="704"/>
      <c r="D23" s="31"/>
      <c r="E23" s="31">
        <v>0</v>
      </c>
      <c r="F23" s="31"/>
    </row>
    <row r="24" spans="1:7" ht="15" customHeight="1">
      <c r="A24" s="702" t="s">
        <v>156</v>
      </c>
      <c r="B24" s="703"/>
      <c r="C24" s="704"/>
      <c r="D24" s="31">
        <v>186000</v>
      </c>
      <c r="E24" s="31">
        <v>186000</v>
      </c>
      <c r="F24" s="31">
        <v>96458</v>
      </c>
    </row>
    <row r="25" spans="1:7" ht="15" customHeight="1">
      <c r="A25" s="714" t="s">
        <v>155</v>
      </c>
      <c r="B25" s="715"/>
      <c r="C25" s="716"/>
      <c r="D25" s="31">
        <v>1200</v>
      </c>
      <c r="E25" s="31">
        <v>1200</v>
      </c>
      <c r="F25" s="31">
        <v>363</v>
      </c>
    </row>
    <row r="26" spans="1:7" ht="15" customHeight="1">
      <c r="A26" s="711" t="s">
        <v>154</v>
      </c>
      <c r="B26" s="712"/>
      <c r="C26" s="713"/>
      <c r="D26" s="31"/>
      <c r="E26" s="31">
        <v>0</v>
      </c>
      <c r="F26" s="31"/>
    </row>
    <row r="27" spans="1:7" ht="15" customHeight="1">
      <c r="A27" s="705" t="s">
        <v>153</v>
      </c>
      <c r="B27" s="706"/>
      <c r="C27" s="707"/>
      <c r="D27" s="31">
        <v>2561000</v>
      </c>
      <c r="E27" s="31">
        <v>2752800</v>
      </c>
      <c r="F27" s="31">
        <v>1304859</v>
      </c>
    </row>
    <row r="28" spans="1:7" ht="15" customHeight="1">
      <c r="A28" s="705" t="s">
        <v>152</v>
      </c>
      <c r="B28" s="706"/>
      <c r="C28" s="707"/>
      <c r="D28" s="31"/>
      <c r="E28" s="31">
        <v>0</v>
      </c>
      <c r="F28" s="31">
        <v>165</v>
      </c>
    </row>
    <row r="29" spans="1:7" ht="15" customHeight="1">
      <c r="A29" s="702" t="s">
        <v>741</v>
      </c>
      <c r="B29" s="703"/>
      <c r="C29" s="704"/>
      <c r="D29" s="31">
        <v>15000</v>
      </c>
      <c r="E29" s="31">
        <v>15000</v>
      </c>
      <c r="F29" s="31">
        <v>12283</v>
      </c>
    </row>
    <row r="30" spans="1:7" ht="15" customHeight="1">
      <c r="A30" s="708" t="s">
        <v>517</v>
      </c>
      <c r="B30" s="709"/>
      <c r="C30" s="710"/>
      <c r="D30" s="33">
        <f>SUM(D21:D29)</f>
        <v>3123200</v>
      </c>
      <c r="E30" s="33">
        <f t="shared" ref="E30" si="6">SUM(E21:E29)</f>
        <v>3315000</v>
      </c>
      <c r="F30" s="33">
        <f t="shared" ref="F30" si="7">SUM(F21:F29)</f>
        <v>1624434</v>
      </c>
      <c r="G30" s="66"/>
    </row>
    <row r="31" spans="1:7" ht="15" customHeight="1">
      <c r="A31" s="176"/>
      <c r="B31" s="176"/>
      <c r="C31" s="176"/>
      <c r="D31" s="179"/>
      <c r="E31" s="177"/>
      <c r="F31" s="177"/>
      <c r="G31" s="177"/>
    </row>
    <row r="32" spans="1:7" ht="15" customHeight="1">
      <c r="A32" s="728"/>
      <c r="B32" s="728"/>
      <c r="C32" s="728"/>
      <c r="D32" s="728"/>
      <c r="E32" s="177"/>
      <c r="F32" s="189" t="s">
        <v>312</v>
      </c>
      <c r="G32" s="177"/>
    </row>
    <row r="33" spans="1:7" ht="15" customHeight="1">
      <c r="A33" s="700" t="s">
        <v>170</v>
      </c>
      <c r="B33" s="700"/>
      <c r="C33" s="700"/>
      <c r="D33" s="700"/>
      <c r="E33" s="701"/>
      <c r="F33" s="701"/>
      <c r="G33" s="177"/>
    </row>
    <row r="34" spans="1:7" ht="15" customHeight="1">
      <c r="A34" s="700" t="s">
        <v>528</v>
      </c>
      <c r="B34" s="701"/>
      <c r="C34" s="701"/>
      <c r="D34" s="701"/>
      <c r="E34" s="701"/>
      <c r="F34" s="701"/>
      <c r="G34" s="177"/>
    </row>
    <row r="35" spans="1:7" ht="15" customHeight="1">
      <c r="A35" s="243"/>
      <c r="B35" s="244"/>
      <c r="C35" s="258">
        <v>41455</v>
      </c>
      <c r="D35" s="244"/>
      <c r="E35" s="244"/>
      <c r="F35" s="244"/>
      <c r="G35" s="245"/>
    </row>
    <row r="36" spans="1:7" ht="15" customHeight="1">
      <c r="A36" s="725"/>
      <c r="B36" s="725"/>
      <c r="C36" s="725"/>
      <c r="D36" s="725"/>
      <c r="E36" s="177"/>
      <c r="F36" s="189" t="s">
        <v>23</v>
      </c>
      <c r="G36" s="177"/>
    </row>
    <row r="37" spans="1:7" ht="15" customHeight="1">
      <c r="A37" s="737" t="s">
        <v>151</v>
      </c>
      <c r="B37" s="737"/>
      <c r="C37" s="737"/>
      <c r="D37" s="717" t="s">
        <v>150</v>
      </c>
      <c r="E37" s="718"/>
      <c r="F37" s="738"/>
    </row>
    <row r="38" spans="1:7" ht="33" customHeight="1">
      <c r="A38" s="199"/>
      <c r="B38" s="200"/>
      <c r="C38" s="201"/>
      <c r="D38" s="50" t="s">
        <v>231</v>
      </c>
      <c r="E38" s="50" t="s">
        <v>525</v>
      </c>
      <c r="F38" s="50" t="s">
        <v>743</v>
      </c>
    </row>
    <row r="39" spans="1:7" ht="15" customHeight="1">
      <c r="A39" s="702" t="s">
        <v>149</v>
      </c>
      <c r="B39" s="703"/>
      <c r="C39" s="704"/>
      <c r="D39" s="31">
        <v>53000</v>
      </c>
      <c r="E39" s="31">
        <f>+C39+D39</f>
        <v>53000</v>
      </c>
      <c r="F39" s="31">
        <v>25754</v>
      </c>
    </row>
    <row r="40" spans="1:7" ht="15" customHeight="1">
      <c r="A40" s="714" t="s">
        <v>148</v>
      </c>
      <c r="B40" s="715"/>
      <c r="C40" s="716"/>
      <c r="D40" s="27"/>
      <c r="E40" s="471"/>
      <c r="F40" s="195"/>
    </row>
    <row r="41" spans="1:7" ht="15" customHeight="1">
      <c r="A41" s="711" t="s">
        <v>147</v>
      </c>
      <c r="B41" s="712"/>
      <c r="C41" s="713"/>
      <c r="D41" s="30"/>
      <c r="E41" s="30"/>
      <c r="F41" s="30"/>
    </row>
    <row r="42" spans="1:7" ht="15" customHeight="1">
      <c r="A42" s="708" t="s">
        <v>518</v>
      </c>
      <c r="B42" s="709"/>
      <c r="C42" s="710"/>
      <c r="D42" s="33">
        <f>SUM(D39:D41)</f>
        <v>53000</v>
      </c>
      <c r="E42" s="33">
        <f t="shared" ref="E42" si="8">SUM(E39:E41)</f>
        <v>53000</v>
      </c>
      <c r="F42" s="33">
        <f t="shared" ref="F42" si="9">SUM(F39:F41)</f>
        <v>25754</v>
      </c>
    </row>
    <row r="43" spans="1:7" ht="15" customHeight="1">
      <c r="A43" s="176"/>
      <c r="B43" s="176"/>
      <c r="C43" s="176"/>
      <c r="D43" s="179"/>
      <c r="E43" s="177"/>
      <c r="F43" s="177"/>
      <c r="G43" s="177"/>
    </row>
    <row r="44" spans="1:7" ht="15" customHeight="1">
      <c r="A44" s="181"/>
      <c r="B44" s="181"/>
      <c r="C44" s="181"/>
      <c r="D44" s="179"/>
      <c r="E44" s="189"/>
      <c r="F44" s="189"/>
      <c r="G44" s="189"/>
    </row>
    <row r="45" spans="1:7" ht="15" customHeight="1">
      <c r="A45" s="181"/>
      <c r="B45" s="181"/>
      <c r="C45" s="181"/>
      <c r="D45" s="179"/>
      <c r="E45" s="189"/>
      <c r="F45" s="189"/>
      <c r="G45" s="500"/>
    </row>
    <row r="46" spans="1:7" ht="15" customHeight="1">
      <c r="A46" s="181"/>
      <c r="B46" s="181"/>
      <c r="C46" s="181"/>
      <c r="D46" s="179"/>
      <c r="E46" s="189"/>
      <c r="F46" s="189"/>
      <c r="G46" s="189"/>
    </row>
    <row r="47" spans="1:7" ht="15" customHeight="1">
      <c r="A47" s="181"/>
      <c r="B47" s="181"/>
      <c r="C47" s="181"/>
      <c r="D47" s="179"/>
      <c r="E47" s="189"/>
      <c r="F47" s="189"/>
      <c r="G47" s="189"/>
    </row>
    <row r="48" spans="1:7" ht="15" customHeight="1">
      <c r="A48" s="181"/>
      <c r="B48" s="181"/>
      <c r="C48" s="181"/>
      <c r="D48" s="179"/>
      <c r="E48" s="245"/>
      <c r="F48" s="245"/>
      <c r="G48" s="245"/>
    </row>
    <row r="49" spans="1:17" ht="15" customHeight="1">
      <c r="A49" s="181"/>
      <c r="B49" s="181"/>
      <c r="C49" s="181"/>
      <c r="D49" s="179"/>
      <c r="E49" s="189"/>
      <c r="F49" s="189"/>
      <c r="G49" s="189"/>
    </row>
    <row r="50" spans="1:17" ht="15" customHeight="1">
      <c r="A50" s="728"/>
      <c r="B50" s="728"/>
      <c r="C50" s="728"/>
      <c r="D50" s="728"/>
      <c r="E50" s="177"/>
      <c r="F50" s="189" t="s">
        <v>373</v>
      </c>
      <c r="G50" s="177"/>
    </row>
    <row r="51" spans="1:17" ht="15" customHeight="1">
      <c r="A51" s="700" t="s">
        <v>170</v>
      </c>
      <c r="B51" s="700"/>
      <c r="C51" s="700"/>
      <c r="D51" s="700"/>
      <c r="E51" s="701"/>
      <c r="F51" s="701"/>
      <c r="G51" s="177"/>
    </row>
    <row r="52" spans="1:17" ht="15" customHeight="1">
      <c r="A52" s="700" t="s">
        <v>529</v>
      </c>
      <c r="B52" s="701"/>
      <c r="C52" s="701"/>
      <c r="D52" s="701"/>
      <c r="E52" s="701"/>
      <c r="F52" s="701"/>
      <c r="G52" s="177"/>
    </row>
    <row r="53" spans="1:17" ht="15" customHeight="1">
      <c r="A53" s="243"/>
      <c r="B53" s="244"/>
      <c r="C53" s="258">
        <v>41455</v>
      </c>
      <c r="D53" s="244"/>
      <c r="E53" s="244"/>
      <c r="F53" s="244"/>
      <c r="G53" s="245"/>
    </row>
    <row r="54" spans="1:17" ht="15" customHeight="1">
      <c r="A54" s="725"/>
      <c r="B54" s="725"/>
      <c r="C54" s="725"/>
      <c r="D54" s="725"/>
      <c r="E54" s="177"/>
      <c r="F54" s="189" t="s">
        <v>23</v>
      </c>
      <c r="G54" s="177"/>
    </row>
    <row r="55" spans="1:17" ht="15" customHeight="1">
      <c r="A55" s="737" t="s">
        <v>151</v>
      </c>
      <c r="B55" s="737"/>
      <c r="C55" s="737"/>
      <c r="D55" s="717" t="s">
        <v>150</v>
      </c>
      <c r="E55" s="739"/>
      <c r="F55" s="740"/>
      <c r="G55" s="177"/>
    </row>
    <row r="56" spans="1:17" ht="32.4" customHeight="1">
      <c r="A56" s="199"/>
      <c r="B56" s="200"/>
      <c r="C56" s="201"/>
      <c r="D56" s="50" t="s">
        <v>231</v>
      </c>
      <c r="E56" s="50" t="s">
        <v>525</v>
      </c>
      <c r="F56" s="50" t="s">
        <v>743</v>
      </c>
      <c r="G56" s="189"/>
    </row>
    <row r="57" spans="1:17" ht="15" customHeight="1">
      <c r="A57" s="714" t="s">
        <v>742</v>
      </c>
      <c r="B57" s="715"/>
      <c r="C57" s="716"/>
      <c r="D57" s="31">
        <v>15000</v>
      </c>
      <c r="E57" s="31">
        <f>+C57+D57</f>
        <v>15000</v>
      </c>
      <c r="F57" s="31">
        <v>1643</v>
      </c>
      <c r="G57" s="177"/>
    </row>
    <row r="58" spans="1:17" ht="15" customHeight="1">
      <c r="A58" s="460" t="s">
        <v>746</v>
      </c>
      <c r="B58" s="461"/>
      <c r="C58" s="462"/>
      <c r="D58" s="31"/>
      <c r="E58" s="31"/>
      <c r="F58" s="31">
        <v>220</v>
      </c>
      <c r="G58" s="468"/>
    </row>
    <row r="59" spans="1:17" ht="15" customHeight="1">
      <c r="A59" s="708" t="s">
        <v>516</v>
      </c>
      <c r="B59" s="709"/>
      <c r="C59" s="710"/>
      <c r="D59" s="33">
        <f t="shared" ref="D59:E59" si="10">SUM(D57:D58)</f>
        <v>15000</v>
      </c>
      <c r="E59" s="33">
        <f t="shared" si="10"/>
        <v>15000</v>
      </c>
      <c r="F59" s="33">
        <f>SUM(F57:F58)</f>
        <v>1863</v>
      </c>
      <c r="G59" s="177"/>
      <c r="H59" s="66">
        <f>+F59+F42+F30+F12</f>
        <v>1653348</v>
      </c>
    </row>
    <row r="60" spans="1:17" ht="15" customHeight="1">
      <c r="A60" s="181"/>
      <c r="B60" s="181"/>
      <c r="C60" s="181"/>
      <c r="D60" s="179"/>
      <c r="E60" s="179"/>
      <c r="F60" s="179"/>
      <c r="G60" s="189"/>
    </row>
    <row r="61" spans="1:17" ht="15" customHeight="1">
      <c r="A61" s="181"/>
      <c r="B61" s="181"/>
      <c r="C61" s="181"/>
      <c r="D61" s="179"/>
      <c r="E61" s="179"/>
      <c r="F61" s="179"/>
      <c r="G61" s="189"/>
    </row>
    <row r="62" spans="1:17" ht="15" customHeight="1">
      <c r="A62" s="176"/>
      <c r="B62" s="176"/>
      <c r="C62" s="176"/>
      <c r="D62" s="179"/>
      <c r="E62" s="177"/>
      <c r="F62" s="177"/>
      <c r="G62" s="177"/>
      <c r="O62" s="202" t="s">
        <v>519</v>
      </c>
    </row>
    <row r="63" spans="1:17" ht="15" customHeight="1">
      <c r="E63" s="66"/>
      <c r="F63" s="7"/>
      <c r="G63" s="20" t="s">
        <v>166</v>
      </c>
    </row>
    <row r="64" spans="1:17" ht="15" customHeight="1">
      <c r="A64" s="727" t="s">
        <v>751</v>
      </c>
      <c r="B64" s="727"/>
      <c r="C64" s="727"/>
      <c r="D64" s="727"/>
      <c r="E64" s="727"/>
      <c r="F64" s="727"/>
      <c r="G64" s="727"/>
      <c r="H64" s="701"/>
      <c r="I64" s="701"/>
      <c r="J64" s="701"/>
      <c r="K64" s="701"/>
      <c r="L64" s="701"/>
      <c r="M64" s="701"/>
      <c r="N64" s="701"/>
      <c r="O64" s="701"/>
      <c r="P64" s="701"/>
      <c r="Q64" s="701"/>
    </row>
    <row r="65" spans="1:17" ht="15" customHeight="1">
      <c r="A65" s="246"/>
      <c r="B65" s="741">
        <v>41455</v>
      </c>
      <c r="C65" s="701"/>
      <c r="D65" s="701"/>
      <c r="E65" s="701"/>
      <c r="F65" s="701"/>
      <c r="G65" s="701"/>
      <c r="H65" s="701"/>
      <c r="I65" s="701"/>
      <c r="J65" s="701"/>
      <c r="K65" s="701"/>
      <c r="L65" s="701"/>
      <c r="M65" s="701"/>
      <c r="N65" s="701"/>
      <c r="O65" s="701"/>
      <c r="P65" s="701"/>
      <c r="Q65" s="701"/>
    </row>
    <row r="66" spans="1:17" ht="15" customHeight="1">
      <c r="A66" s="725"/>
      <c r="B66" s="725"/>
      <c r="C66" s="725"/>
      <c r="D66" s="725"/>
      <c r="E66" s="725"/>
      <c r="F66" s="725"/>
      <c r="G66" s="725"/>
      <c r="O66" s="207" t="s">
        <v>0</v>
      </c>
    </row>
    <row r="67" spans="1:17" ht="15" customHeight="1">
      <c r="A67" s="732" t="s">
        <v>151</v>
      </c>
      <c r="B67" s="733"/>
      <c r="C67" s="734"/>
      <c r="D67" s="719" t="s">
        <v>150</v>
      </c>
      <c r="E67" s="720"/>
      <c r="F67" s="721"/>
      <c r="G67" s="719" t="s">
        <v>165</v>
      </c>
      <c r="H67" s="720"/>
      <c r="I67" s="721"/>
      <c r="J67" s="719" t="s">
        <v>526</v>
      </c>
      <c r="K67" s="720"/>
      <c r="L67" s="721"/>
      <c r="M67" s="719" t="s">
        <v>164</v>
      </c>
      <c r="N67" s="720"/>
      <c r="O67" s="721"/>
    </row>
    <row r="68" spans="1:17" ht="10.5" customHeight="1">
      <c r="A68" s="742"/>
      <c r="B68" s="743"/>
      <c r="C68" s="744"/>
      <c r="D68" s="722"/>
      <c r="E68" s="723"/>
      <c r="F68" s="724"/>
      <c r="G68" s="722"/>
      <c r="H68" s="723"/>
      <c r="I68" s="724"/>
      <c r="J68" s="722"/>
      <c r="K68" s="723"/>
      <c r="L68" s="724"/>
      <c r="M68" s="722"/>
      <c r="N68" s="723"/>
      <c r="O68" s="724"/>
    </row>
    <row r="69" spans="1:17" ht="37.799999999999997" customHeight="1">
      <c r="A69" s="185"/>
      <c r="B69" s="186"/>
      <c r="C69" s="187"/>
      <c r="D69" s="50" t="s">
        <v>231</v>
      </c>
      <c r="E69" s="50" t="s">
        <v>525</v>
      </c>
      <c r="F69" s="50" t="s">
        <v>743</v>
      </c>
      <c r="G69" s="50" t="s">
        <v>231</v>
      </c>
      <c r="H69" s="50" t="s">
        <v>525</v>
      </c>
      <c r="I69" s="50" t="s">
        <v>743</v>
      </c>
      <c r="J69" s="50" t="s">
        <v>231</v>
      </c>
      <c r="K69" s="50" t="s">
        <v>525</v>
      </c>
      <c r="L69" s="50" t="s">
        <v>743</v>
      </c>
      <c r="M69" s="50" t="s">
        <v>231</v>
      </c>
      <c r="N69" s="50" t="s">
        <v>525</v>
      </c>
      <c r="O69" s="50" t="s">
        <v>743</v>
      </c>
    </row>
    <row r="70" spans="1:17" ht="20.399999999999999" customHeight="1">
      <c r="A70" s="711" t="s">
        <v>163</v>
      </c>
      <c r="B70" s="712"/>
      <c r="C70" s="713"/>
      <c r="D70" s="30" t="s">
        <v>160</v>
      </c>
      <c r="E70" s="30" t="s">
        <v>160</v>
      </c>
      <c r="F70" s="30"/>
      <c r="G70" s="31">
        <v>2165</v>
      </c>
      <c r="H70" s="280">
        <v>2165</v>
      </c>
      <c r="I70" s="280">
        <f>1503+1533</f>
        <v>3036</v>
      </c>
      <c r="J70" s="30">
        <v>0</v>
      </c>
      <c r="K70" s="30">
        <v>0</v>
      </c>
      <c r="L70" s="30"/>
      <c r="M70" s="31">
        <f>+G70+J70</f>
        <v>2165</v>
      </c>
      <c r="N70" s="31">
        <f t="shared" ref="N70:O70" si="11">+H70+K70</f>
        <v>2165</v>
      </c>
      <c r="O70" s="31">
        <f t="shared" si="11"/>
        <v>3036</v>
      </c>
    </row>
    <row r="71" spans="1:17" ht="20.399999999999999" customHeight="1">
      <c r="A71" s="702" t="s">
        <v>162</v>
      </c>
      <c r="B71" s="703"/>
      <c r="C71" s="704"/>
      <c r="D71" s="30" t="s">
        <v>160</v>
      </c>
      <c r="E71" s="30" t="s">
        <v>160</v>
      </c>
      <c r="F71" s="30"/>
      <c r="G71" s="31">
        <f>439893+80679</f>
        <v>520572</v>
      </c>
      <c r="H71" s="31">
        <f>439893+80679</f>
        <v>520572</v>
      </c>
      <c r="I71" s="280">
        <f>226290+9388</f>
        <v>235678</v>
      </c>
      <c r="J71" s="31">
        <f>1951-351</f>
        <v>1600</v>
      </c>
      <c r="K71" s="31">
        <f>1951-351</f>
        <v>1600</v>
      </c>
      <c r="L71" s="31">
        <v>313</v>
      </c>
      <c r="M71" s="31">
        <f t="shared" ref="M71:M72" si="12">+G71+J71</f>
        <v>522172</v>
      </c>
      <c r="N71" s="31">
        <f t="shared" ref="N71:N72" si="13">+H71+K71</f>
        <v>522172</v>
      </c>
      <c r="O71" s="31">
        <f t="shared" ref="O71:O72" si="14">+I71+L71</f>
        <v>235991</v>
      </c>
    </row>
    <row r="72" spans="1:17" ht="20.399999999999999" customHeight="1">
      <c r="A72" s="736" t="s">
        <v>161</v>
      </c>
      <c r="B72" s="736"/>
      <c r="C72" s="736"/>
      <c r="D72" s="30" t="s">
        <v>160</v>
      </c>
      <c r="E72" s="30" t="s">
        <v>160</v>
      </c>
      <c r="F72" s="30"/>
      <c r="G72" s="31">
        <f>4088+340</f>
        <v>4428</v>
      </c>
      <c r="H72" s="280">
        <f>4088+340</f>
        <v>4428</v>
      </c>
      <c r="I72" s="280">
        <f>221+339+145</f>
        <v>705</v>
      </c>
      <c r="J72" s="31">
        <v>1000</v>
      </c>
      <c r="K72" s="31">
        <v>1000</v>
      </c>
      <c r="L72" s="31">
        <v>763</v>
      </c>
      <c r="M72" s="31">
        <f t="shared" si="12"/>
        <v>5428</v>
      </c>
      <c r="N72" s="31">
        <f t="shared" si="13"/>
        <v>5428</v>
      </c>
      <c r="O72" s="31">
        <f t="shared" si="14"/>
        <v>1468</v>
      </c>
    </row>
    <row r="73" spans="1:17" ht="20.399999999999999" customHeight="1">
      <c r="A73" s="736" t="s">
        <v>197</v>
      </c>
      <c r="B73" s="736"/>
      <c r="C73" s="736"/>
      <c r="D73" s="31">
        <f>81169</f>
        <v>81169</v>
      </c>
      <c r="E73" s="31">
        <v>89089</v>
      </c>
      <c r="F73" s="280">
        <f>47949+3</f>
        <v>47952</v>
      </c>
      <c r="G73" s="31">
        <f>245999+24520</f>
        <v>270519</v>
      </c>
      <c r="H73" s="31">
        <f>245999+24520</f>
        <v>270519</v>
      </c>
      <c r="I73" s="280">
        <f>135948+39678</f>
        <v>175626</v>
      </c>
      <c r="J73" s="31"/>
      <c r="K73" s="31">
        <v>0</v>
      </c>
      <c r="L73" s="30"/>
      <c r="M73" s="31">
        <f>+G73+J73+D73</f>
        <v>351688</v>
      </c>
      <c r="N73" s="31">
        <f t="shared" ref="N73:O73" si="15">+H73+K73+E73</f>
        <v>359608</v>
      </c>
      <c r="O73" s="31">
        <f t="shared" si="15"/>
        <v>223578</v>
      </c>
    </row>
    <row r="74" spans="1:17" ht="27.6" customHeight="1">
      <c r="A74" s="735" t="s">
        <v>198</v>
      </c>
      <c r="B74" s="736"/>
      <c r="C74" s="736"/>
      <c r="D74" s="31">
        <f>1626+4000+3350</f>
        <v>8976</v>
      </c>
      <c r="E74" s="31">
        <v>8496</v>
      </c>
      <c r="F74" s="280">
        <f>5681+1445</f>
        <v>7126</v>
      </c>
      <c r="G74" s="31">
        <v>17810</v>
      </c>
      <c r="H74" s="31">
        <v>17810</v>
      </c>
      <c r="I74" s="31">
        <v>4870</v>
      </c>
      <c r="J74" s="31"/>
      <c r="K74" s="31">
        <v>366</v>
      </c>
      <c r="L74" s="30">
        <v>54</v>
      </c>
      <c r="M74" s="31">
        <f t="shared" ref="M74:M79" si="16">+G74+J74+D74</f>
        <v>26786</v>
      </c>
      <c r="N74" s="31">
        <f t="shared" ref="N74:N79" si="17">+H74+K74+E74</f>
        <v>26672</v>
      </c>
      <c r="O74" s="31">
        <f t="shared" ref="O74:O79" si="18">+I74+L74+F74</f>
        <v>12050</v>
      </c>
    </row>
    <row r="75" spans="1:17" ht="28.2" customHeight="1">
      <c r="A75" s="735" t="s">
        <v>199</v>
      </c>
      <c r="B75" s="736"/>
      <c r="C75" s="736"/>
      <c r="D75" s="31"/>
      <c r="E75" s="31">
        <v>0</v>
      </c>
      <c r="F75" s="280"/>
      <c r="G75" s="31">
        <v>68917</v>
      </c>
      <c r="H75" s="31">
        <v>68917</v>
      </c>
      <c r="I75" s="31">
        <v>50154</v>
      </c>
      <c r="J75" s="31"/>
      <c r="K75" s="31">
        <v>0</v>
      </c>
      <c r="L75" s="30"/>
      <c r="M75" s="31">
        <f t="shared" si="16"/>
        <v>68917</v>
      </c>
      <c r="N75" s="31">
        <f t="shared" si="17"/>
        <v>68917</v>
      </c>
      <c r="O75" s="31">
        <f t="shared" si="18"/>
        <v>50154</v>
      </c>
    </row>
    <row r="76" spans="1:17" ht="20.399999999999999" customHeight="1">
      <c r="A76" s="735" t="s">
        <v>200</v>
      </c>
      <c r="B76" s="736"/>
      <c r="C76" s="736"/>
      <c r="D76" s="31">
        <f>5400+905+135</f>
        <v>6440</v>
      </c>
      <c r="E76" s="31">
        <v>9247</v>
      </c>
      <c r="F76" s="280">
        <v>3604</v>
      </c>
      <c r="G76" s="31">
        <v>126746</v>
      </c>
      <c r="H76" s="31">
        <v>126746</v>
      </c>
      <c r="I76" s="31">
        <f>58901+2696</f>
        <v>61597</v>
      </c>
      <c r="J76" s="31">
        <v>351</v>
      </c>
      <c r="K76" s="31">
        <f>99+351</f>
        <v>450</v>
      </c>
      <c r="L76" s="30">
        <v>272</v>
      </c>
      <c r="M76" s="31">
        <f t="shared" si="16"/>
        <v>133537</v>
      </c>
      <c r="N76" s="31">
        <f t="shared" si="17"/>
        <v>136443</v>
      </c>
      <c r="O76" s="31">
        <f t="shared" si="18"/>
        <v>65473</v>
      </c>
    </row>
    <row r="77" spans="1:17" ht="20.399999999999999" customHeight="1">
      <c r="A77" s="735" t="s">
        <v>201</v>
      </c>
      <c r="B77" s="736"/>
      <c r="C77" s="736"/>
      <c r="D77" s="31">
        <v>41000</v>
      </c>
      <c r="E77" s="31">
        <v>74701</v>
      </c>
      <c r="F77" s="280">
        <v>17087</v>
      </c>
      <c r="G77" s="170">
        <v>0</v>
      </c>
      <c r="H77" s="170">
        <v>0</v>
      </c>
      <c r="I77" s="31">
        <v>0</v>
      </c>
      <c r="J77" s="31"/>
      <c r="K77" s="31"/>
      <c r="L77" s="31"/>
      <c r="M77" s="31">
        <f t="shared" si="16"/>
        <v>41000</v>
      </c>
      <c r="N77" s="31">
        <f t="shared" si="17"/>
        <v>74701</v>
      </c>
      <c r="O77" s="31">
        <f t="shared" si="18"/>
        <v>17087</v>
      </c>
    </row>
    <row r="78" spans="1:17" ht="20.399999999999999" customHeight="1">
      <c r="A78" s="735" t="s">
        <v>202</v>
      </c>
      <c r="B78" s="736"/>
      <c r="C78" s="736"/>
      <c r="D78" s="31">
        <f>6120+35100+61288</f>
        <v>102508</v>
      </c>
      <c r="E78" s="31">
        <v>150734</v>
      </c>
      <c r="F78" s="280">
        <v>32259</v>
      </c>
      <c r="G78" s="170">
        <v>0</v>
      </c>
      <c r="H78" s="170">
        <v>0</v>
      </c>
      <c r="I78" s="31">
        <v>0</v>
      </c>
      <c r="J78" s="31"/>
      <c r="K78" s="31"/>
      <c r="L78" s="31"/>
      <c r="M78" s="31">
        <f t="shared" si="16"/>
        <v>102508</v>
      </c>
      <c r="N78" s="31">
        <f t="shared" si="17"/>
        <v>150734</v>
      </c>
      <c r="O78" s="31">
        <f t="shared" si="18"/>
        <v>32259</v>
      </c>
    </row>
    <row r="79" spans="1:17" ht="20.399999999999999" customHeight="1">
      <c r="A79" s="735" t="s">
        <v>505</v>
      </c>
      <c r="B79" s="736"/>
      <c r="C79" s="736"/>
      <c r="D79" s="31">
        <v>5000</v>
      </c>
      <c r="E79" s="31">
        <v>5000</v>
      </c>
      <c r="F79" s="280">
        <v>2559</v>
      </c>
      <c r="G79" s="170">
        <f>120</f>
        <v>120</v>
      </c>
      <c r="H79" s="170">
        <f>120</f>
        <v>120</v>
      </c>
      <c r="I79" s="31">
        <f>165</f>
        <v>165</v>
      </c>
      <c r="J79" s="31"/>
      <c r="K79" s="31"/>
      <c r="L79" s="31">
        <v>2</v>
      </c>
      <c r="M79" s="31">
        <f t="shared" si="16"/>
        <v>5120</v>
      </c>
      <c r="N79" s="31">
        <f t="shared" si="17"/>
        <v>5120</v>
      </c>
      <c r="O79" s="31">
        <f t="shared" si="18"/>
        <v>2726</v>
      </c>
    </row>
    <row r="80" spans="1:17" ht="20.399999999999999" customHeight="1">
      <c r="A80" s="708" t="s">
        <v>752</v>
      </c>
      <c r="B80" s="709"/>
      <c r="C80" s="710"/>
      <c r="D80" s="37">
        <f>SUM(D73:D79)</f>
        <v>245093</v>
      </c>
      <c r="E80" s="37">
        <v>337267</v>
      </c>
      <c r="F80" s="37">
        <f t="shared" ref="F80" si="19">SUM(F73:F79)</f>
        <v>110587</v>
      </c>
      <c r="G80" s="37">
        <f>SUM(G70:G79)</f>
        <v>1011277</v>
      </c>
      <c r="H80" s="37">
        <f t="shared" ref="H80:I80" si="20">SUM(H70:H79)</f>
        <v>1011277</v>
      </c>
      <c r="I80" s="37">
        <f t="shared" si="20"/>
        <v>531831</v>
      </c>
      <c r="J80" s="37">
        <f>SUM(J70:J79)</f>
        <v>2951</v>
      </c>
      <c r="K80" s="37">
        <v>3416</v>
      </c>
      <c r="L80" s="37">
        <f t="shared" ref="L80" si="21">SUM(L70:L79)</f>
        <v>1404</v>
      </c>
      <c r="M80" s="37">
        <f>SUM(M70:M79)</f>
        <v>1259321</v>
      </c>
      <c r="N80" s="37">
        <f t="shared" ref="N80:O80" si="22">SUM(N70:N79)</f>
        <v>1351960</v>
      </c>
      <c r="O80" s="37">
        <f t="shared" si="22"/>
        <v>643822</v>
      </c>
    </row>
    <row r="81" spans="1:9" ht="20.399999999999999" customHeight="1">
      <c r="A81" s="34"/>
      <c r="B81" s="29"/>
      <c r="C81" s="29"/>
      <c r="D81" s="62"/>
      <c r="E81" s="62"/>
      <c r="F81" s="514"/>
      <c r="G81" s="62"/>
    </row>
    <row r="82" spans="1:9" ht="12" customHeight="1">
      <c r="D82" s="66"/>
      <c r="E82" s="66"/>
      <c r="F82" s="66"/>
      <c r="G82" s="29"/>
    </row>
    <row r="83" spans="1:9" ht="18" customHeight="1">
      <c r="E83" s="36"/>
      <c r="F83" s="2"/>
      <c r="G83" s="2"/>
    </row>
    <row r="84" spans="1:9" ht="12" customHeight="1">
      <c r="F84" s="2"/>
      <c r="G84" s="2"/>
      <c r="I84" s="66"/>
    </row>
    <row r="85" spans="1:9">
      <c r="G85" s="66"/>
    </row>
    <row r="92" spans="1:9" ht="18" customHeight="1"/>
  </sheetData>
  <mergeCells count="66">
    <mergeCell ref="A1:G1"/>
    <mergeCell ref="G6:G7"/>
    <mergeCell ref="A6:C7"/>
    <mergeCell ref="D6:F7"/>
    <mergeCell ref="H6:J7"/>
    <mergeCell ref="A73:C73"/>
    <mergeCell ref="A74:C74"/>
    <mergeCell ref="A75:C75"/>
    <mergeCell ref="A12:C12"/>
    <mergeCell ref="A10:C10"/>
    <mergeCell ref="A66:G66"/>
    <mergeCell ref="A11:C11"/>
    <mergeCell ref="A67:C68"/>
    <mergeCell ref="A42:C42"/>
    <mergeCell ref="A40:C40"/>
    <mergeCell ref="A41:C41"/>
    <mergeCell ref="A37:C37"/>
    <mergeCell ref="A39:C39"/>
    <mergeCell ref="A22:C22"/>
    <mergeCell ref="A14:D14"/>
    <mergeCell ref="A18:D18"/>
    <mergeCell ref="A72:C72"/>
    <mergeCell ref="A32:D32"/>
    <mergeCell ref="A34:F34"/>
    <mergeCell ref="D37:F37"/>
    <mergeCell ref="D55:F55"/>
    <mergeCell ref="A51:F51"/>
    <mergeCell ref="A52:F52"/>
    <mergeCell ref="B65:Q65"/>
    <mergeCell ref="A36:D36"/>
    <mergeCell ref="G67:I68"/>
    <mergeCell ref="J67:L68"/>
    <mergeCell ref="A64:Q64"/>
    <mergeCell ref="D67:F68"/>
    <mergeCell ref="A33:F33"/>
    <mergeCell ref="M67:O68"/>
    <mergeCell ref="A80:C80"/>
    <mergeCell ref="A50:D50"/>
    <mergeCell ref="A21:C21"/>
    <mergeCell ref="A19:C19"/>
    <mergeCell ref="A76:C76"/>
    <mergeCell ref="A77:C77"/>
    <mergeCell ref="A78:C78"/>
    <mergeCell ref="A79:C79"/>
    <mergeCell ref="A59:C59"/>
    <mergeCell ref="A54:D54"/>
    <mergeCell ref="A55:C55"/>
    <mergeCell ref="A29:C29"/>
    <mergeCell ref="A57:C57"/>
    <mergeCell ref="A23:C23"/>
    <mergeCell ref="A70:C70"/>
    <mergeCell ref="A71:C71"/>
    <mergeCell ref="K6:M7"/>
    <mergeCell ref="A5:M5"/>
    <mergeCell ref="A2:M2"/>
    <mergeCell ref="A3:M3"/>
    <mergeCell ref="A9:C9"/>
    <mergeCell ref="A15:G15"/>
    <mergeCell ref="B16:G16"/>
    <mergeCell ref="A24:C24"/>
    <mergeCell ref="A28:C28"/>
    <mergeCell ref="A30:C30"/>
    <mergeCell ref="A27:C27"/>
    <mergeCell ref="A26:C26"/>
    <mergeCell ref="A25:C25"/>
    <mergeCell ref="D19:F19"/>
  </mergeCells>
  <printOptions horizontalCentered="1"/>
  <pageMargins left="0.23622047244094491" right="0.23622047244094491" top="0.31496062992125984" bottom="0.15748031496062992" header="0.15748031496062992" footer="0.19685039370078741"/>
  <pageSetup paperSize="9" scale="80" orientation="landscape" r:id="rId1"/>
  <headerFooter alignWithMargins="0">
    <oddHeader>&amp;LVeresegyház Város Önkormányzat</oddHeader>
    <oddFooter>&amp;LVeresegyház, 2013. Szeptember 03.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D91"/>
  <sheetViews>
    <sheetView view="pageLayout" topLeftCell="A4" workbookViewId="0">
      <selection activeCell="C81" sqref="C81"/>
    </sheetView>
  </sheetViews>
  <sheetFormatPr defaultRowHeight="13.2"/>
  <cols>
    <col min="1" max="1" width="60.109375" style="109" customWidth="1"/>
    <col min="2" max="2" width="19.5546875" style="115" customWidth="1"/>
    <col min="3" max="3" width="14.88671875" style="109" customWidth="1"/>
    <col min="4" max="256" width="9.109375" style="109"/>
    <col min="257" max="257" width="60.109375" style="109" customWidth="1"/>
    <col min="258" max="258" width="19.5546875" style="109" customWidth="1"/>
    <col min="259" max="512" width="9.109375" style="109"/>
    <col min="513" max="513" width="60.109375" style="109" customWidth="1"/>
    <col min="514" max="514" width="19.5546875" style="109" customWidth="1"/>
    <col min="515" max="768" width="9.109375" style="109"/>
    <col min="769" max="769" width="60.109375" style="109" customWidth="1"/>
    <col min="770" max="770" width="19.5546875" style="109" customWidth="1"/>
    <col min="771" max="1024" width="9.109375" style="109"/>
    <col min="1025" max="1025" width="60.109375" style="109" customWidth="1"/>
    <col min="1026" max="1026" width="19.5546875" style="109" customWidth="1"/>
    <col min="1027" max="1280" width="9.109375" style="109"/>
    <col min="1281" max="1281" width="60.109375" style="109" customWidth="1"/>
    <col min="1282" max="1282" width="19.5546875" style="109" customWidth="1"/>
    <col min="1283" max="1536" width="9.109375" style="109"/>
    <col min="1537" max="1537" width="60.109375" style="109" customWidth="1"/>
    <col min="1538" max="1538" width="19.5546875" style="109" customWidth="1"/>
    <col min="1539" max="1792" width="9.109375" style="109"/>
    <col min="1793" max="1793" width="60.109375" style="109" customWidth="1"/>
    <col min="1794" max="1794" width="19.5546875" style="109" customWidth="1"/>
    <col min="1795" max="2048" width="9.109375" style="109"/>
    <col min="2049" max="2049" width="60.109375" style="109" customWidth="1"/>
    <col min="2050" max="2050" width="19.5546875" style="109" customWidth="1"/>
    <col min="2051" max="2304" width="9.109375" style="109"/>
    <col min="2305" max="2305" width="60.109375" style="109" customWidth="1"/>
    <col min="2306" max="2306" width="19.5546875" style="109" customWidth="1"/>
    <col min="2307" max="2560" width="9.109375" style="109"/>
    <col min="2561" max="2561" width="60.109375" style="109" customWidth="1"/>
    <col min="2562" max="2562" width="19.5546875" style="109" customWidth="1"/>
    <col min="2563" max="2816" width="9.109375" style="109"/>
    <col min="2817" max="2817" width="60.109375" style="109" customWidth="1"/>
    <col min="2818" max="2818" width="19.5546875" style="109" customWidth="1"/>
    <col min="2819" max="3072" width="9.109375" style="109"/>
    <col min="3073" max="3073" width="60.109375" style="109" customWidth="1"/>
    <col min="3074" max="3074" width="19.5546875" style="109" customWidth="1"/>
    <col min="3075" max="3328" width="9.109375" style="109"/>
    <col min="3329" max="3329" width="60.109375" style="109" customWidth="1"/>
    <col min="3330" max="3330" width="19.5546875" style="109" customWidth="1"/>
    <col min="3331" max="3584" width="9.109375" style="109"/>
    <col min="3585" max="3585" width="60.109375" style="109" customWidth="1"/>
    <col min="3586" max="3586" width="19.5546875" style="109" customWidth="1"/>
    <col min="3587" max="3840" width="9.109375" style="109"/>
    <col min="3841" max="3841" width="60.109375" style="109" customWidth="1"/>
    <col min="3842" max="3842" width="19.5546875" style="109" customWidth="1"/>
    <col min="3843" max="4096" width="9.109375" style="109"/>
    <col min="4097" max="4097" width="60.109375" style="109" customWidth="1"/>
    <col min="4098" max="4098" width="19.5546875" style="109" customWidth="1"/>
    <col min="4099" max="4352" width="9.109375" style="109"/>
    <col min="4353" max="4353" width="60.109375" style="109" customWidth="1"/>
    <col min="4354" max="4354" width="19.5546875" style="109" customWidth="1"/>
    <col min="4355" max="4608" width="9.109375" style="109"/>
    <col min="4609" max="4609" width="60.109375" style="109" customWidth="1"/>
    <col min="4610" max="4610" width="19.5546875" style="109" customWidth="1"/>
    <col min="4611" max="4864" width="9.109375" style="109"/>
    <col min="4865" max="4865" width="60.109375" style="109" customWidth="1"/>
    <col min="4866" max="4866" width="19.5546875" style="109" customWidth="1"/>
    <col min="4867" max="5120" width="9.109375" style="109"/>
    <col min="5121" max="5121" width="60.109375" style="109" customWidth="1"/>
    <col min="5122" max="5122" width="19.5546875" style="109" customWidth="1"/>
    <col min="5123" max="5376" width="9.109375" style="109"/>
    <col min="5377" max="5377" width="60.109375" style="109" customWidth="1"/>
    <col min="5378" max="5378" width="19.5546875" style="109" customWidth="1"/>
    <col min="5379" max="5632" width="9.109375" style="109"/>
    <col min="5633" max="5633" width="60.109375" style="109" customWidth="1"/>
    <col min="5634" max="5634" width="19.5546875" style="109" customWidth="1"/>
    <col min="5635" max="5888" width="9.109375" style="109"/>
    <col min="5889" max="5889" width="60.109375" style="109" customWidth="1"/>
    <col min="5890" max="5890" width="19.5546875" style="109" customWidth="1"/>
    <col min="5891" max="6144" width="9.109375" style="109"/>
    <col min="6145" max="6145" width="60.109375" style="109" customWidth="1"/>
    <col min="6146" max="6146" width="19.5546875" style="109" customWidth="1"/>
    <col min="6147" max="6400" width="9.109375" style="109"/>
    <col min="6401" max="6401" width="60.109375" style="109" customWidth="1"/>
    <col min="6402" max="6402" width="19.5546875" style="109" customWidth="1"/>
    <col min="6403" max="6656" width="9.109375" style="109"/>
    <col min="6657" max="6657" width="60.109375" style="109" customWidth="1"/>
    <col min="6658" max="6658" width="19.5546875" style="109" customWidth="1"/>
    <col min="6659" max="6912" width="9.109375" style="109"/>
    <col min="6913" max="6913" width="60.109375" style="109" customWidth="1"/>
    <col min="6914" max="6914" width="19.5546875" style="109" customWidth="1"/>
    <col min="6915" max="7168" width="9.109375" style="109"/>
    <col min="7169" max="7169" width="60.109375" style="109" customWidth="1"/>
    <col min="7170" max="7170" width="19.5546875" style="109" customWidth="1"/>
    <col min="7171" max="7424" width="9.109375" style="109"/>
    <col min="7425" max="7425" width="60.109375" style="109" customWidth="1"/>
    <col min="7426" max="7426" width="19.5546875" style="109" customWidth="1"/>
    <col min="7427" max="7680" width="9.109375" style="109"/>
    <col min="7681" max="7681" width="60.109375" style="109" customWidth="1"/>
    <col min="7682" max="7682" width="19.5546875" style="109" customWidth="1"/>
    <col min="7683" max="7936" width="9.109375" style="109"/>
    <col min="7937" max="7937" width="60.109375" style="109" customWidth="1"/>
    <col min="7938" max="7938" width="19.5546875" style="109" customWidth="1"/>
    <col min="7939" max="8192" width="9.109375" style="109"/>
    <col min="8193" max="8193" width="60.109375" style="109" customWidth="1"/>
    <col min="8194" max="8194" width="19.5546875" style="109" customWidth="1"/>
    <col min="8195" max="8448" width="9.109375" style="109"/>
    <col min="8449" max="8449" width="60.109375" style="109" customWidth="1"/>
    <col min="8450" max="8450" width="19.5546875" style="109" customWidth="1"/>
    <col min="8451" max="8704" width="9.109375" style="109"/>
    <col min="8705" max="8705" width="60.109375" style="109" customWidth="1"/>
    <col min="8706" max="8706" width="19.5546875" style="109" customWidth="1"/>
    <col min="8707" max="8960" width="9.109375" style="109"/>
    <col min="8961" max="8961" width="60.109375" style="109" customWidth="1"/>
    <col min="8962" max="8962" width="19.5546875" style="109" customWidth="1"/>
    <col min="8963" max="9216" width="9.109375" style="109"/>
    <col min="9217" max="9217" width="60.109375" style="109" customWidth="1"/>
    <col min="9218" max="9218" width="19.5546875" style="109" customWidth="1"/>
    <col min="9219" max="9472" width="9.109375" style="109"/>
    <col min="9473" max="9473" width="60.109375" style="109" customWidth="1"/>
    <col min="9474" max="9474" width="19.5546875" style="109" customWidth="1"/>
    <col min="9475" max="9728" width="9.109375" style="109"/>
    <col min="9729" max="9729" width="60.109375" style="109" customWidth="1"/>
    <col min="9730" max="9730" width="19.5546875" style="109" customWidth="1"/>
    <col min="9731" max="9984" width="9.109375" style="109"/>
    <col min="9985" max="9985" width="60.109375" style="109" customWidth="1"/>
    <col min="9986" max="9986" width="19.5546875" style="109" customWidth="1"/>
    <col min="9987" max="10240" width="9.109375" style="109"/>
    <col min="10241" max="10241" width="60.109375" style="109" customWidth="1"/>
    <col min="10242" max="10242" width="19.5546875" style="109" customWidth="1"/>
    <col min="10243" max="10496" width="9.109375" style="109"/>
    <col min="10497" max="10497" width="60.109375" style="109" customWidth="1"/>
    <col min="10498" max="10498" width="19.5546875" style="109" customWidth="1"/>
    <col min="10499" max="10752" width="9.109375" style="109"/>
    <col min="10753" max="10753" width="60.109375" style="109" customWidth="1"/>
    <col min="10754" max="10754" width="19.5546875" style="109" customWidth="1"/>
    <col min="10755" max="11008" width="9.109375" style="109"/>
    <col min="11009" max="11009" width="60.109375" style="109" customWidth="1"/>
    <col min="11010" max="11010" width="19.5546875" style="109" customWidth="1"/>
    <col min="11011" max="11264" width="9.109375" style="109"/>
    <col min="11265" max="11265" width="60.109375" style="109" customWidth="1"/>
    <col min="11266" max="11266" width="19.5546875" style="109" customWidth="1"/>
    <col min="11267" max="11520" width="9.109375" style="109"/>
    <col min="11521" max="11521" width="60.109375" style="109" customWidth="1"/>
    <col min="11522" max="11522" width="19.5546875" style="109" customWidth="1"/>
    <col min="11523" max="11776" width="9.109375" style="109"/>
    <col min="11777" max="11777" width="60.109375" style="109" customWidth="1"/>
    <col min="11778" max="11778" width="19.5546875" style="109" customWidth="1"/>
    <col min="11779" max="12032" width="9.109375" style="109"/>
    <col min="12033" max="12033" width="60.109375" style="109" customWidth="1"/>
    <col min="12034" max="12034" width="19.5546875" style="109" customWidth="1"/>
    <col min="12035" max="12288" width="9.109375" style="109"/>
    <col min="12289" max="12289" width="60.109375" style="109" customWidth="1"/>
    <col min="12290" max="12290" width="19.5546875" style="109" customWidth="1"/>
    <col min="12291" max="12544" width="9.109375" style="109"/>
    <col min="12545" max="12545" width="60.109375" style="109" customWidth="1"/>
    <col min="12546" max="12546" width="19.5546875" style="109" customWidth="1"/>
    <col min="12547" max="12800" width="9.109375" style="109"/>
    <col min="12801" max="12801" width="60.109375" style="109" customWidth="1"/>
    <col min="12802" max="12802" width="19.5546875" style="109" customWidth="1"/>
    <col min="12803" max="13056" width="9.109375" style="109"/>
    <col min="13057" max="13057" width="60.109375" style="109" customWidth="1"/>
    <col min="13058" max="13058" width="19.5546875" style="109" customWidth="1"/>
    <col min="13059" max="13312" width="9.109375" style="109"/>
    <col min="13313" max="13313" width="60.109375" style="109" customWidth="1"/>
    <col min="13314" max="13314" width="19.5546875" style="109" customWidth="1"/>
    <col min="13315" max="13568" width="9.109375" style="109"/>
    <col min="13569" max="13569" width="60.109375" style="109" customWidth="1"/>
    <col min="13570" max="13570" width="19.5546875" style="109" customWidth="1"/>
    <col min="13571" max="13824" width="9.109375" style="109"/>
    <col min="13825" max="13825" width="60.109375" style="109" customWidth="1"/>
    <col min="13826" max="13826" width="19.5546875" style="109" customWidth="1"/>
    <col min="13827" max="14080" width="9.109375" style="109"/>
    <col min="14081" max="14081" width="60.109375" style="109" customWidth="1"/>
    <col min="14082" max="14082" width="19.5546875" style="109" customWidth="1"/>
    <col min="14083" max="14336" width="9.109375" style="109"/>
    <col min="14337" max="14337" width="60.109375" style="109" customWidth="1"/>
    <col min="14338" max="14338" width="19.5546875" style="109" customWidth="1"/>
    <col min="14339" max="14592" width="9.109375" style="109"/>
    <col min="14593" max="14593" width="60.109375" style="109" customWidth="1"/>
    <col min="14594" max="14594" width="19.5546875" style="109" customWidth="1"/>
    <col min="14595" max="14848" width="9.109375" style="109"/>
    <col min="14849" max="14849" width="60.109375" style="109" customWidth="1"/>
    <col min="14850" max="14850" width="19.5546875" style="109" customWidth="1"/>
    <col min="14851" max="15104" width="9.109375" style="109"/>
    <col min="15105" max="15105" width="60.109375" style="109" customWidth="1"/>
    <col min="15106" max="15106" width="19.5546875" style="109" customWidth="1"/>
    <col min="15107" max="15360" width="9.109375" style="109"/>
    <col min="15361" max="15361" width="60.109375" style="109" customWidth="1"/>
    <col min="15362" max="15362" width="19.5546875" style="109" customWidth="1"/>
    <col min="15363" max="15616" width="9.109375" style="109"/>
    <col min="15617" max="15617" width="60.109375" style="109" customWidth="1"/>
    <col min="15618" max="15618" width="19.5546875" style="109" customWidth="1"/>
    <col min="15619" max="15872" width="9.109375" style="109"/>
    <col min="15873" max="15873" width="60.109375" style="109" customWidth="1"/>
    <col min="15874" max="15874" width="19.5546875" style="109" customWidth="1"/>
    <col min="15875" max="16128" width="9.109375" style="109"/>
    <col min="16129" max="16129" width="60.109375" style="109" customWidth="1"/>
    <col min="16130" max="16130" width="19.5546875" style="109" customWidth="1"/>
    <col min="16131" max="16384" width="9.109375" style="109"/>
  </cols>
  <sheetData>
    <row r="1" spans="1:3">
      <c r="A1" s="107"/>
      <c r="B1" s="108" t="s">
        <v>349</v>
      </c>
    </row>
    <row r="2" spans="1:3">
      <c r="A2" s="107"/>
      <c r="B2" s="110"/>
    </row>
    <row r="3" spans="1:3">
      <c r="A3" s="908" t="s">
        <v>73</v>
      </c>
      <c r="B3" s="908"/>
    </row>
    <row r="4" spans="1:3" ht="51" customHeight="1">
      <c r="A4" s="909" t="s">
        <v>142</v>
      </c>
      <c r="B4" s="909"/>
    </row>
    <row r="5" spans="1:3" ht="12" customHeight="1">
      <c r="A5" s="489" t="s">
        <v>595</v>
      </c>
      <c r="B5" s="111"/>
    </row>
    <row r="6" spans="1:3">
      <c r="A6" s="107"/>
      <c r="B6" s="108" t="s">
        <v>80</v>
      </c>
    </row>
    <row r="7" spans="1:3">
      <c r="A7" s="32" t="s">
        <v>79</v>
      </c>
      <c r="B7" s="112" t="s">
        <v>112</v>
      </c>
      <c r="C7" s="112" t="s">
        <v>743</v>
      </c>
    </row>
    <row r="8" spans="1:3" s="503" customFormat="1">
      <c r="A8" s="32"/>
      <c r="B8" s="112"/>
      <c r="C8" s="112"/>
    </row>
    <row r="9" spans="1:3" ht="26.25" customHeight="1">
      <c r="A9" s="22" t="s">
        <v>111</v>
      </c>
      <c r="B9" s="113">
        <f>SUM(B10:B19)</f>
        <v>782679</v>
      </c>
      <c r="C9" s="113">
        <v>0</v>
      </c>
    </row>
    <row r="10" spans="1:3">
      <c r="A10" s="114" t="s">
        <v>350</v>
      </c>
      <c r="B10" s="113">
        <v>99192</v>
      </c>
      <c r="C10" s="113">
        <v>0</v>
      </c>
    </row>
    <row r="11" spans="1:3">
      <c r="A11" s="114" t="s">
        <v>351</v>
      </c>
      <c r="B11" s="113">
        <v>143588</v>
      </c>
      <c r="C11" s="113">
        <v>0</v>
      </c>
    </row>
    <row r="12" spans="1:3">
      <c r="A12" s="114" t="s">
        <v>352</v>
      </c>
      <c r="B12" s="113">
        <v>203892</v>
      </c>
      <c r="C12" s="113">
        <v>0</v>
      </c>
    </row>
    <row r="13" spans="1:3">
      <c r="A13" s="114" t="s">
        <v>353</v>
      </c>
      <c r="B13" s="113">
        <v>21273</v>
      </c>
      <c r="C13" s="113">
        <v>0</v>
      </c>
    </row>
    <row r="14" spans="1:3">
      <c r="A14" s="114" t="s">
        <v>354</v>
      </c>
      <c r="B14" s="113">
        <v>154090</v>
      </c>
      <c r="C14" s="113">
        <v>0</v>
      </c>
    </row>
    <row r="15" spans="1:3">
      <c r="A15" s="506" t="s">
        <v>355</v>
      </c>
      <c r="B15" s="507">
        <v>32000</v>
      </c>
      <c r="C15" s="113">
        <v>0</v>
      </c>
    </row>
    <row r="16" spans="1:3">
      <c r="A16" s="114" t="s">
        <v>356</v>
      </c>
      <c r="B16" s="113">
        <v>93230</v>
      </c>
      <c r="C16" s="113">
        <v>0</v>
      </c>
    </row>
    <row r="17" spans="1:4">
      <c r="A17" s="114" t="s">
        <v>357</v>
      </c>
      <c r="B17" s="113">
        <v>18542</v>
      </c>
      <c r="C17" s="113">
        <v>0</v>
      </c>
    </row>
    <row r="18" spans="1:4">
      <c r="A18" s="114" t="s">
        <v>358</v>
      </c>
      <c r="B18" s="113">
        <v>4172</v>
      </c>
      <c r="C18" s="113">
        <v>0</v>
      </c>
    </row>
    <row r="19" spans="1:4">
      <c r="A19" s="114" t="s">
        <v>359</v>
      </c>
      <c r="B19" s="113">
        <v>12700</v>
      </c>
      <c r="C19" s="113">
        <v>0</v>
      </c>
      <c r="D19" s="115"/>
    </row>
    <row r="20" spans="1:4">
      <c r="A20" s="114"/>
      <c r="B20" s="113"/>
      <c r="C20" s="113"/>
    </row>
    <row r="21" spans="1:4">
      <c r="A21" s="114"/>
      <c r="B21" s="113"/>
      <c r="C21" s="113"/>
    </row>
    <row r="22" spans="1:4">
      <c r="A22" s="114" t="s">
        <v>74</v>
      </c>
      <c r="B22" s="113">
        <f>SUM(B23:B29)</f>
        <v>0</v>
      </c>
      <c r="C22" s="113">
        <f>SUM(C23:C29)</f>
        <v>0</v>
      </c>
    </row>
    <row r="23" spans="1:4">
      <c r="A23" s="114" t="s">
        <v>76</v>
      </c>
      <c r="B23" s="113"/>
      <c r="C23" s="113"/>
    </row>
    <row r="24" spans="1:4">
      <c r="A24" s="114" t="s">
        <v>77</v>
      </c>
      <c r="B24" s="113"/>
      <c r="C24" s="113"/>
    </row>
    <row r="25" spans="1:4">
      <c r="A25" s="114" t="s">
        <v>78</v>
      </c>
      <c r="B25" s="113"/>
      <c r="C25" s="113"/>
    </row>
    <row r="26" spans="1:4">
      <c r="A26" s="114"/>
      <c r="B26" s="113"/>
      <c r="C26" s="113"/>
    </row>
    <row r="27" spans="1:4">
      <c r="A27" s="114"/>
      <c r="B27" s="113"/>
      <c r="C27" s="113"/>
    </row>
    <row r="28" spans="1:4">
      <c r="A28" s="114"/>
      <c r="B28" s="113"/>
      <c r="C28" s="113"/>
    </row>
    <row r="29" spans="1:4">
      <c r="A29" s="114"/>
      <c r="B29" s="113"/>
      <c r="C29" s="113"/>
    </row>
    <row r="30" spans="1:4">
      <c r="A30" s="51" t="s">
        <v>43</v>
      </c>
      <c r="B30" s="116">
        <f>SUM(B22+B9)</f>
        <v>782679</v>
      </c>
      <c r="C30" s="116">
        <f>SUM(C22+C9)</f>
        <v>0</v>
      </c>
    </row>
    <row r="31" spans="1:4">
      <c r="A31" s="107"/>
      <c r="B31" s="110"/>
    </row>
    <row r="91" ht="18" customHeight="1"/>
  </sheetData>
  <mergeCells count="2">
    <mergeCell ref="A3:B3"/>
    <mergeCell ref="A4:B4"/>
  </mergeCells>
  <printOptions horizontalCentered="1"/>
  <pageMargins left="0.23622047244094491" right="0.23622047244094491" top="0.31496062992125984" bottom="0.15748031496062992" header="0.15748031496062992" footer="0.19685039370078741"/>
  <pageSetup paperSize="9" scale="80" orientation="portrait" r:id="rId1"/>
  <headerFooter alignWithMargins="0">
    <oddHeader>&amp;LVeresegyház Város Önkormányzat</oddHeader>
    <oddFooter>&amp;LVeresegyház, 2013. Szeptember 03.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Y86"/>
  <sheetViews>
    <sheetView topLeftCell="A4" workbookViewId="0">
      <selection activeCell="D13" sqref="D13"/>
    </sheetView>
  </sheetViews>
  <sheetFormatPr defaultRowHeight="9.6"/>
  <cols>
    <col min="1" max="1" width="8.5546875" style="117" customWidth="1"/>
    <col min="2" max="2" width="7.5546875" style="117" customWidth="1"/>
    <col min="3" max="4" width="8.5546875" style="117" customWidth="1"/>
    <col min="5" max="10" width="7.109375" style="117" customWidth="1"/>
    <col min="11" max="11" width="8.88671875" style="117" customWidth="1"/>
    <col min="12" max="20" width="7.109375" style="117" customWidth="1"/>
    <col min="21" max="21" width="6.88671875" style="117" customWidth="1"/>
    <col min="22" max="22" width="8.6640625" style="117" customWidth="1"/>
    <col min="23" max="257" width="8.88671875" style="117"/>
    <col min="258" max="258" width="1.6640625" style="117" customWidth="1"/>
    <col min="259" max="259" width="17.109375" style="117" customWidth="1"/>
    <col min="260" max="278" width="6.5546875" style="117" customWidth="1"/>
    <col min="279" max="513" width="8.88671875" style="117"/>
    <col min="514" max="514" width="1.6640625" style="117" customWidth="1"/>
    <col min="515" max="515" width="17.109375" style="117" customWidth="1"/>
    <col min="516" max="534" width="6.5546875" style="117" customWidth="1"/>
    <col min="535" max="769" width="8.88671875" style="117"/>
    <col min="770" max="770" width="1.6640625" style="117" customWidth="1"/>
    <col min="771" max="771" width="17.109375" style="117" customWidth="1"/>
    <col min="772" max="790" width="6.5546875" style="117" customWidth="1"/>
    <col min="791" max="1025" width="8.88671875" style="117"/>
    <col min="1026" max="1026" width="1.6640625" style="117" customWidth="1"/>
    <col min="1027" max="1027" width="17.109375" style="117" customWidth="1"/>
    <col min="1028" max="1046" width="6.5546875" style="117" customWidth="1"/>
    <col min="1047" max="1281" width="8.88671875" style="117"/>
    <col min="1282" max="1282" width="1.6640625" style="117" customWidth="1"/>
    <col min="1283" max="1283" width="17.109375" style="117" customWidth="1"/>
    <col min="1284" max="1302" width="6.5546875" style="117" customWidth="1"/>
    <col min="1303" max="1537" width="8.88671875" style="117"/>
    <col min="1538" max="1538" width="1.6640625" style="117" customWidth="1"/>
    <col min="1539" max="1539" width="17.109375" style="117" customWidth="1"/>
    <col min="1540" max="1558" width="6.5546875" style="117" customWidth="1"/>
    <col min="1559" max="1793" width="8.88671875" style="117"/>
    <col min="1794" max="1794" width="1.6640625" style="117" customWidth="1"/>
    <col min="1795" max="1795" width="17.109375" style="117" customWidth="1"/>
    <col min="1796" max="1814" width="6.5546875" style="117" customWidth="1"/>
    <col min="1815" max="2049" width="8.88671875" style="117"/>
    <col min="2050" max="2050" width="1.6640625" style="117" customWidth="1"/>
    <col min="2051" max="2051" width="17.109375" style="117" customWidth="1"/>
    <col min="2052" max="2070" width="6.5546875" style="117" customWidth="1"/>
    <col min="2071" max="2305" width="8.88671875" style="117"/>
    <col min="2306" max="2306" width="1.6640625" style="117" customWidth="1"/>
    <col min="2307" max="2307" width="17.109375" style="117" customWidth="1"/>
    <col min="2308" max="2326" width="6.5546875" style="117" customWidth="1"/>
    <col min="2327" max="2561" width="8.88671875" style="117"/>
    <col min="2562" max="2562" width="1.6640625" style="117" customWidth="1"/>
    <col min="2563" max="2563" width="17.109375" style="117" customWidth="1"/>
    <col min="2564" max="2582" width="6.5546875" style="117" customWidth="1"/>
    <col min="2583" max="2817" width="8.88671875" style="117"/>
    <col min="2818" max="2818" width="1.6640625" style="117" customWidth="1"/>
    <col min="2819" max="2819" width="17.109375" style="117" customWidth="1"/>
    <col min="2820" max="2838" width="6.5546875" style="117" customWidth="1"/>
    <col min="2839" max="3073" width="8.88671875" style="117"/>
    <col min="3074" max="3074" width="1.6640625" style="117" customWidth="1"/>
    <col min="3075" max="3075" width="17.109375" style="117" customWidth="1"/>
    <col min="3076" max="3094" width="6.5546875" style="117" customWidth="1"/>
    <col min="3095" max="3329" width="8.88671875" style="117"/>
    <col min="3330" max="3330" width="1.6640625" style="117" customWidth="1"/>
    <col min="3331" max="3331" width="17.109375" style="117" customWidth="1"/>
    <col min="3332" max="3350" width="6.5546875" style="117" customWidth="1"/>
    <col min="3351" max="3585" width="8.88671875" style="117"/>
    <col min="3586" max="3586" width="1.6640625" style="117" customWidth="1"/>
    <col min="3587" max="3587" width="17.109375" style="117" customWidth="1"/>
    <col min="3588" max="3606" width="6.5546875" style="117" customWidth="1"/>
    <col min="3607" max="3841" width="8.88671875" style="117"/>
    <col min="3842" max="3842" width="1.6640625" style="117" customWidth="1"/>
    <col min="3843" max="3843" width="17.109375" style="117" customWidth="1"/>
    <col min="3844" max="3862" width="6.5546875" style="117" customWidth="1"/>
    <col min="3863" max="4097" width="8.88671875" style="117"/>
    <col min="4098" max="4098" width="1.6640625" style="117" customWidth="1"/>
    <col min="4099" max="4099" width="17.109375" style="117" customWidth="1"/>
    <col min="4100" max="4118" width="6.5546875" style="117" customWidth="1"/>
    <col min="4119" max="4353" width="8.88671875" style="117"/>
    <col min="4354" max="4354" width="1.6640625" style="117" customWidth="1"/>
    <col min="4355" max="4355" width="17.109375" style="117" customWidth="1"/>
    <col min="4356" max="4374" width="6.5546875" style="117" customWidth="1"/>
    <col min="4375" max="4609" width="8.88671875" style="117"/>
    <col min="4610" max="4610" width="1.6640625" style="117" customWidth="1"/>
    <col min="4611" max="4611" width="17.109375" style="117" customWidth="1"/>
    <col min="4612" max="4630" width="6.5546875" style="117" customWidth="1"/>
    <col min="4631" max="4865" width="8.88671875" style="117"/>
    <col min="4866" max="4866" width="1.6640625" style="117" customWidth="1"/>
    <col min="4867" max="4867" width="17.109375" style="117" customWidth="1"/>
    <col min="4868" max="4886" width="6.5546875" style="117" customWidth="1"/>
    <col min="4887" max="5121" width="8.88671875" style="117"/>
    <col min="5122" max="5122" width="1.6640625" style="117" customWidth="1"/>
    <col min="5123" max="5123" width="17.109375" style="117" customWidth="1"/>
    <col min="5124" max="5142" width="6.5546875" style="117" customWidth="1"/>
    <col min="5143" max="5377" width="8.88671875" style="117"/>
    <col min="5378" max="5378" width="1.6640625" style="117" customWidth="1"/>
    <col min="5379" max="5379" width="17.109375" style="117" customWidth="1"/>
    <col min="5380" max="5398" width="6.5546875" style="117" customWidth="1"/>
    <col min="5399" max="5633" width="8.88671875" style="117"/>
    <col min="5634" max="5634" width="1.6640625" style="117" customWidth="1"/>
    <col min="5635" max="5635" width="17.109375" style="117" customWidth="1"/>
    <col min="5636" max="5654" width="6.5546875" style="117" customWidth="1"/>
    <col min="5655" max="5889" width="8.88671875" style="117"/>
    <col min="5890" max="5890" width="1.6640625" style="117" customWidth="1"/>
    <col min="5891" max="5891" width="17.109375" style="117" customWidth="1"/>
    <col min="5892" max="5910" width="6.5546875" style="117" customWidth="1"/>
    <col min="5911" max="6145" width="8.88671875" style="117"/>
    <col min="6146" max="6146" width="1.6640625" style="117" customWidth="1"/>
    <col min="6147" max="6147" width="17.109375" style="117" customWidth="1"/>
    <col min="6148" max="6166" width="6.5546875" style="117" customWidth="1"/>
    <col min="6167" max="6401" width="8.88671875" style="117"/>
    <col min="6402" max="6402" width="1.6640625" style="117" customWidth="1"/>
    <col min="6403" max="6403" width="17.109375" style="117" customWidth="1"/>
    <col min="6404" max="6422" width="6.5546875" style="117" customWidth="1"/>
    <col min="6423" max="6657" width="8.88671875" style="117"/>
    <col min="6658" max="6658" width="1.6640625" style="117" customWidth="1"/>
    <col min="6659" max="6659" width="17.109375" style="117" customWidth="1"/>
    <col min="6660" max="6678" width="6.5546875" style="117" customWidth="1"/>
    <col min="6679" max="6913" width="8.88671875" style="117"/>
    <col min="6914" max="6914" width="1.6640625" style="117" customWidth="1"/>
    <col min="6915" max="6915" width="17.109375" style="117" customWidth="1"/>
    <col min="6916" max="6934" width="6.5546875" style="117" customWidth="1"/>
    <col min="6935" max="7169" width="8.88671875" style="117"/>
    <col min="7170" max="7170" width="1.6640625" style="117" customWidth="1"/>
    <col min="7171" max="7171" width="17.109375" style="117" customWidth="1"/>
    <col min="7172" max="7190" width="6.5546875" style="117" customWidth="1"/>
    <col min="7191" max="7425" width="8.88671875" style="117"/>
    <col min="7426" max="7426" width="1.6640625" style="117" customWidth="1"/>
    <col min="7427" max="7427" width="17.109375" style="117" customWidth="1"/>
    <col min="7428" max="7446" width="6.5546875" style="117" customWidth="1"/>
    <col min="7447" max="7681" width="8.88671875" style="117"/>
    <col min="7682" max="7682" width="1.6640625" style="117" customWidth="1"/>
    <col min="7683" max="7683" width="17.109375" style="117" customWidth="1"/>
    <col min="7684" max="7702" width="6.5546875" style="117" customWidth="1"/>
    <col min="7703" max="7937" width="8.88671875" style="117"/>
    <col min="7938" max="7938" width="1.6640625" style="117" customWidth="1"/>
    <col min="7939" max="7939" width="17.109375" style="117" customWidth="1"/>
    <col min="7940" max="7958" width="6.5546875" style="117" customWidth="1"/>
    <col min="7959" max="8193" width="8.88671875" style="117"/>
    <col min="8194" max="8194" width="1.6640625" style="117" customWidth="1"/>
    <col min="8195" max="8195" width="17.109375" style="117" customWidth="1"/>
    <col min="8196" max="8214" width="6.5546875" style="117" customWidth="1"/>
    <col min="8215" max="8449" width="8.88671875" style="117"/>
    <col min="8450" max="8450" width="1.6640625" style="117" customWidth="1"/>
    <col min="8451" max="8451" width="17.109375" style="117" customWidth="1"/>
    <col min="8452" max="8470" width="6.5546875" style="117" customWidth="1"/>
    <col min="8471" max="8705" width="8.88671875" style="117"/>
    <col min="8706" max="8706" width="1.6640625" style="117" customWidth="1"/>
    <col min="8707" max="8707" width="17.109375" style="117" customWidth="1"/>
    <col min="8708" max="8726" width="6.5546875" style="117" customWidth="1"/>
    <col min="8727" max="8961" width="8.88671875" style="117"/>
    <col min="8962" max="8962" width="1.6640625" style="117" customWidth="1"/>
    <col min="8963" max="8963" width="17.109375" style="117" customWidth="1"/>
    <col min="8964" max="8982" width="6.5546875" style="117" customWidth="1"/>
    <col min="8983" max="9217" width="8.88671875" style="117"/>
    <col min="9218" max="9218" width="1.6640625" style="117" customWidth="1"/>
    <col min="9219" max="9219" width="17.109375" style="117" customWidth="1"/>
    <col min="9220" max="9238" width="6.5546875" style="117" customWidth="1"/>
    <col min="9239" max="9473" width="8.88671875" style="117"/>
    <col min="9474" max="9474" width="1.6640625" style="117" customWidth="1"/>
    <col min="9475" max="9475" width="17.109375" style="117" customWidth="1"/>
    <col min="9476" max="9494" width="6.5546875" style="117" customWidth="1"/>
    <col min="9495" max="9729" width="8.88671875" style="117"/>
    <col min="9730" max="9730" width="1.6640625" style="117" customWidth="1"/>
    <col min="9731" max="9731" width="17.109375" style="117" customWidth="1"/>
    <col min="9732" max="9750" width="6.5546875" style="117" customWidth="1"/>
    <col min="9751" max="9985" width="8.88671875" style="117"/>
    <col min="9986" max="9986" width="1.6640625" style="117" customWidth="1"/>
    <col min="9987" max="9987" width="17.109375" style="117" customWidth="1"/>
    <col min="9988" max="10006" width="6.5546875" style="117" customWidth="1"/>
    <col min="10007" max="10241" width="8.88671875" style="117"/>
    <col min="10242" max="10242" width="1.6640625" style="117" customWidth="1"/>
    <col min="10243" max="10243" width="17.109375" style="117" customWidth="1"/>
    <col min="10244" max="10262" width="6.5546875" style="117" customWidth="1"/>
    <col min="10263" max="10497" width="8.88671875" style="117"/>
    <col min="10498" max="10498" width="1.6640625" style="117" customWidth="1"/>
    <col min="10499" max="10499" width="17.109375" style="117" customWidth="1"/>
    <col min="10500" max="10518" width="6.5546875" style="117" customWidth="1"/>
    <col min="10519" max="10753" width="8.88671875" style="117"/>
    <col min="10754" max="10754" width="1.6640625" style="117" customWidth="1"/>
    <col min="10755" max="10755" width="17.109375" style="117" customWidth="1"/>
    <col min="10756" max="10774" width="6.5546875" style="117" customWidth="1"/>
    <col min="10775" max="11009" width="8.88671875" style="117"/>
    <col min="11010" max="11010" width="1.6640625" style="117" customWidth="1"/>
    <col min="11011" max="11011" width="17.109375" style="117" customWidth="1"/>
    <col min="11012" max="11030" width="6.5546875" style="117" customWidth="1"/>
    <col min="11031" max="11265" width="8.88671875" style="117"/>
    <col min="11266" max="11266" width="1.6640625" style="117" customWidth="1"/>
    <col min="11267" max="11267" width="17.109375" style="117" customWidth="1"/>
    <col min="11268" max="11286" width="6.5546875" style="117" customWidth="1"/>
    <col min="11287" max="11521" width="8.88671875" style="117"/>
    <col min="11522" max="11522" width="1.6640625" style="117" customWidth="1"/>
    <col min="11523" max="11523" width="17.109375" style="117" customWidth="1"/>
    <col min="11524" max="11542" width="6.5546875" style="117" customWidth="1"/>
    <col min="11543" max="11777" width="8.88671875" style="117"/>
    <col min="11778" max="11778" width="1.6640625" style="117" customWidth="1"/>
    <col min="11779" max="11779" width="17.109375" style="117" customWidth="1"/>
    <col min="11780" max="11798" width="6.5546875" style="117" customWidth="1"/>
    <col min="11799" max="12033" width="8.88671875" style="117"/>
    <col min="12034" max="12034" width="1.6640625" style="117" customWidth="1"/>
    <col min="12035" max="12035" width="17.109375" style="117" customWidth="1"/>
    <col min="12036" max="12054" width="6.5546875" style="117" customWidth="1"/>
    <col min="12055" max="12289" width="8.88671875" style="117"/>
    <col min="12290" max="12290" width="1.6640625" style="117" customWidth="1"/>
    <col min="12291" max="12291" width="17.109375" style="117" customWidth="1"/>
    <col min="12292" max="12310" width="6.5546875" style="117" customWidth="1"/>
    <col min="12311" max="12545" width="8.88671875" style="117"/>
    <col min="12546" max="12546" width="1.6640625" style="117" customWidth="1"/>
    <col min="12547" max="12547" width="17.109375" style="117" customWidth="1"/>
    <col min="12548" max="12566" width="6.5546875" style="117" customWidth="1"/>
    <col min="12567" max="12801" width="8.88671875" style="117"/>
    <col min="12802" max="12802" width="1.6640625" style="117" customWidth="1"/>
    <col min="12803" max="12803" width="17.109375" style="117" customWidth="1"/>
    <col min="12804" max="12822" width="6.5546875" style="117" customWidth="1"/>
    <col min="12823" max="13057" width="8.88671875" style="117"/>
    <col min="13058" max="13058" width="1.6640625" style="117" customWidth="1"/>
    <col min="13059" max="13059" width="17.109375" style="117" customWidth="1"/>
    <col min="13060" max="13078" width="6.5546875" style="117" customWidth="1"/>
    <col min="13079" max="13313" width="8.88671875" style="117"/>
    <col min="13314" max="13314" width="1.6640625" style="117" customWidth="1"/>
    <col min="13315" max="13315" width="17.109375" style="117" customWidth="1"/>
    <col min="13316" max="13334" width="6.5546875" style="117" customWidth="1"/>
    <col min="13335" max="13569" width="8.88671875" style="117"/>
    <col min="13570" max="13570" width="1.6640625" style="117" customWidth="1"/>
    <col min="13571" max="13571" width="17.109375" style="117" customWidth="1"/>
    <col min="13572" max="13590" width="6.5546875" style="117" customWidth="1"/>
    <col min="13591" max="13825" width="8.88671875" style="117"/>
    <col min="13826" max="13826" width="1.6640625" style="117" customWidth="1"/>
    <col min="13827" max="13827" width="17.109375" style="117" customWidth="1"/>
    <col min="13828" max="13846" width="6.5546875" style="117" customWidth="1"/>
    <col min="13847" max="14081" width="8.88671875" style="117"/>
    <col min="14082" max="14082" width="1.6640625" style="117" customWidth="1"/>
    <col min="14083" max="14083" width="17.109375" style="117" customWidth="1"/>
    <col min="14084" max="14102" width="6.5546875" style="117" customWidth="1"/>
    <col min="14103" max="14337" width="8.88671875" style="117"/>
    <col min="14338" max="14338" width="1.6640625" style="117" customWidth="1"/>
    <col min="14339" max="14339" width="17.109375" style="117" customWidth="1"/>
    <col min="14340" max="14358" width="6.5546875" style="117" customWidth="1"/>
    <col min="14359" max="14593" width="8.88671875" style="117"/>
    <col min="14594" max="14594" width="1.6640625" style="117" customWidth="1"/>
    <col min="14595" max="14595" width="17.109375" style="117" customWidth="1"/>
    <col min="14596" max="14614" width="6.5546875" style="117" customWidth="1"/>
    <col min="14615" max="14849" width="8.88671875" style="117"/>
    <col min="14850" max="14850" width="1.6640625" style="117" customWidth="1"/>
    <col min="14851" max="14851" width="17.109375" style="117" customWidth="1"/>
    <col min="14852" max="14870" width="6.5546875" style="117" customWidth="1"/>
    <col min="14871" max="15105" width="8.88671875" style="117"/>
    <col min="15106" max="15106" width="1.6640625" style="117" customWidth="1"/>
    <col min="15107" max="15107" width="17.109375" style="117" customWidth="1"/>
    <col min="15108" max="15126" width="6.5546875" style="117" customWidth="1"/>
    <col min="15127" max="15361" width="8.88671875" style="117"/>
    <col min="15362" max="15362" width="1.6640625" style="117" customWidth="1"/>
    <col min="15363" max="15363" width="17.109375" style="117" customWidth="1"/>
    <col min="15364" max="15382" width="6.5546875" style="117" customWidth="1"/>
    <col min="15383" max="15617" width="8.88671875" style="117"/>
    <col min="15618" max="15618" width="1.6640625" style="117" customWidth="1"/>
    <col min="15619" max="15619" width="17.109375" style="117" customWidth="1"/>
    <col min="15620" max="15638" width="6.5546875" style="117" customWidth="1"/>
    <col min="15639" max="15873" width="8.88671875" style="117"/>
    <col min="15874" max="15874" width="1.6640625" style="117" customWidth="1"/>
    <col min="15875" max="15875" width="17.109375" style="117" customWidth="1"/>
    <col min="15876" max="15894" width="6.5546875" style="117" customWidth="1"/>
    <col min="15895" max="16129" width="8.88671875" style="117"/>
    <col min="16130" max="16130" width="1.6640625" style="117" customWidth="1"/>
    <col min="16131" max="16131" width="17.109375" style="117" customWidth="1"/>
    <col min="16132" max="16150" width="6.5546875" style="117" customWidth="1"/>
    <col min="16151" max="16381" width="8.88671875" style="117"/>
    <col min="16382" max="16382" width="8.88671875" style="117" customWidth="1"/>
    <col min="16383" max="16384" width="8.88671875" style="117"/>
  </cols>
  <sheetData>
    <row r="1" spans="1:25">
      <c r="R1" s="910" t="s">
        <v>319</v>
      </c>
      <c r="S1" s="910"/>
      <c r="T1" s="910"/>
      <c r="U1" s="910"/>
      <c r="V1" s="910"/>
    </row>
    <row r="2" spans="1:25" ht="24" customHeight="1">
      <c r="A2" s="911" t="s">
        <v>139</v>
      </c>
      <c r="B2" s="911"/>
      <c r="C2" s="911"/>
      <c r="D2" s="911"/>
      <c r="E2" s="911"/>
      <c r="F2" s="911"/>
      <c r="G2" s="911"/>
      <c r="H2" s="911"/>
      <c r="I2" s="911"/>
      <c r="J2" s="911"/>
      <c r="K2" s="911"/>
      <c r="L2" s="911"/>
      <c r="M2" s="911"/>
      <c r="N2" s="911"/>
      <c r="O2" s="911"/>
      <c r="P2" s="911"/>
      <c r="Q2" s="911"/>
      <c r="R2" s="911"/>
      <c r="S2" s="911"/>
      <c r="T2" s="911"/>
      <c r="U2" s="911"/>
      <c r="V2" s="911"/>
    </row>
    <row r="3" spans="1:25" ht="22.8" customHeight="1">
      <c r="A3" s="276"/>
      <c r="B3" s="276"/>
      <c r="C3" s="276"/>
      <c r="D3" s="276"/>
      <c r="E3" s="276"/>
      <c r="F3" s="276"/>
      <c r="G3" s="276"/>
      <c r="H3" s="276"/>
      <c r="I3" s="276"/>
      <c r="J3" s="271"/>
      <c r="K3" s="912">
        <v>41455</v>
      </c>
      <c r="L3" s="913"/>
      <c r="M3" s="276"/>
      <c r="N3" s="276"/>
      <c r="O3" s="276"/>
      <c r="P3" s="276"/>
      <c r="Q3" s="276"/>
      <c r="R3" s="276"/>
      <c r="S3" s="276"/>
      <c r="T3" s="276"/>
      <c r="U3" s="276"/>
      <c r="V3" s="276" t="s">
        <v>80</v>
      </c>
    </row>
    <row r="4" spans="1:25" ht="30.6" customHeight="1">
      <c r="A4" s="118" t="s">
        <v>125</v>
      </c>
      <c r="B4" s="241" t="s">
        <v>563</v>
      </c>
      <c r="C4" s="241" t="s">
        <v>525</v>
      </c>
      <c r="D4" s="241" t="s">
        <v>743</v>
      </c>
      <c r="E4" s="119" t="s">
        <v>113</v>
      </c>
      <c r="F4" s="119" t="s">
        <v>114</v>
      </c>
      <c r="G4" s="119" t="s">
        <v>115</v>
      </c>
      <c r="H4" s="119" t="s">
        <v>58</v>
      </c>
      <c r="I4" s="119" t="s">
        <v>117</v>
      </c>
      <c r="J4" s="119" t="s">
        <v>118</v>
      </c>
      <c r="K4" s="119" t="s">
        <v>119</v>
      </c>
      <c r="L4" s="119" t="s">
        <v>120</v>
      </c>
      <c r="M4" s="119" t="s">
        <v>121</v>
      </c>
      <c r="N4" s="119" t="s">
        <v>122</v>
      </c>
      <c r="O4" s="120" t="s">
        <v>116</v>
      </c>
      <c r="P4" s="119" t="s">
        <v>123</v>
      </c>
      <c r="Q4" s="119" t="s">
        <v>124</v>
      </c>
      <c r="R4" s="121" t="s">
        <v>146</v>
      </c>
      <c r="S4" s="119" t="s">
        <v>361</v>
      </c>
      <c r="T4" s="121" t="s">
        <v>362</v>
      </c>
      <c r="U4" s="119" t="s">
        <v>363</v>
      </c>
      <c r="V4" s="119" t="s">
        <v>15</v>
      </c>
    </row>
    <row r="5" spans="1:25" ht="19.5" customHeight="1">
      <c r="A5" s="120" t="s">
        <v>126</v>
      </c>
      <c r="B5" s="122">
        <f>3108200+15000</f>
        <v>3123200</v>
      </c>
      <c r="C5" s="122">
        <v>3315000</v>
      </c>
      <c r="D5" s="122">
        <v>1624434</v>
      </c>
      <c r="E5" s="122">
        <v>3100000</v>
      </c>
      <c r="F5" s="122">
        <v>3100000</v>
      </c>
      <c r="G5" s="122">
        <v>3100000</v>
      </c>
      <c r="H5" s="122">
        <v>3100000</v>
      </c>
      <c r="I5" s="122">
        <v>3100000</v>
      </c>
      <c r="J5" s="122">
        <v>3100000</v>
      </c>
      <c r="K5" s="122">
        <v>3100000</v>
      </c>
      <c r="L5" s="122">
        <v>3100000</v>
      </c>
      <c r="M5" s="122">
        <v>3100000</v>
      </c>
      <c r="N5" s="122">
        <v>3100000</v>
      </c>
      <c r="O5" s="122">
        <v>3100000</v>
      </c>
      <c r="P5" s="122">
        <v>3100000</v>
      </c>
      <c r="Q5" s="122">
        <v>3100000</v>
      </c>
      <c r="R5" s="122">
        <v>3100000</v>
      </c>
      <c r="S5" s="122">
        <v>3100000</v>
      </c>
      <c r="T5" s="122">
        <v>3100000</v>
      </c>
      <c r="U5" s="122">
        <v>3100000</v>
      </c>
      <c r="V5" s="123">
        <f>SUM(D5:U5)</f>
        <v>54324434</v>
      </c>
    </row>
    <row r="6" spans="1:25" ht="42">
      <c r="A6" s="491" t="s">
        <v>127</v>
      </c>
      <c r="B6" s="122"/>
      <c r="C6" s="122">
        <v>0</v>
      </c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0"/>
      <c r="P6" s="120"/>
      <c r="Q6" s="120"/>
      <c r="R6" s="120"/>
      <c r="S6" s="120"/>
      <c r="T6" s="120"/>
      <c r="U6" s="120"/>
      <c r="V6" s="123">
        <f t="shared" ref="V6:V10" si="0">SUM(D6:U6)</f>
        <v>0</v>
      </c>
    </row>
    <row r="7" spans="1:25" ht="25.2">
      <c r="A7" s="491" t="s">
        <v>128</v>
      </c>
      <c r="B7" s="122"/>
      <c r="C7" s="122">
        <v>0</v>
      </c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0"/>
      <c r="P7" s="120"/>
      <c r="Q7" s="120"/>
      <c r="R7" s="120"/>
      <c r="S7" s="120"/>
      <c r="T7" s="120"/>
      <c r="U7" s="120"/>
      <c r="V7" s="123">
        <f t="shared" si="0"/>
        <v>0</v>
      </c>
    </row>
    <row r="8" spans="1:25" ht="67.2">
      <c r="A8" s="491" t="s">
        <v>138</v>
      </c>
      <c r="B8" s="122">
        <v>244409</v>
      </c>
      <c r="C8" s="122">
        <v>370708</v>
      </c>
      <c r="D8" s="122">
        <v>83999</v>
      </c>
      <c r="E8" s="122">
        <v>370000</v>
      </c>
      <c r="F8" s="122">
        <v>200000</v>
      </c>
      <c r="G8" s="122">
        <v>80000</v>
      </c>
      <c r="H8" s="122">
        <v>80000</v>
      </c>
      <c r="I8" s="122">
        <v>80000</v>
      </c>
      <c r="J8" s="122">
        <v>80000</v>
      </c>
      <c r="K8" s="122">
        <v>80000</v>
      </c>
      <c r="L8" s="122">
        <v>80000</v>
      </c>
      <c r="M8" s="122">
        <v>80000</v>
      </c>
      <c r="N8" s="122">
        <v>80000</v>
      </c>
      <c r="O8" s="122">
        <v>80000</v>
      </c>
      <c r="P8" s="122">
        <v>80000</v>
      </c>
      <c r="Q8" s="122">
        <v>80000</v>
      </c>
      <c r="R8" s="122">
        <v>80000</v>
      </c>
      <c r="S8" s="122">
        <v>80000</v>
      </c>
      <c r="T8" s="122">
        <v>80000</v>
      </c>
      <c r="U8" s="122">
        <v>80000</v>
      </c>
      <c r="V8" s="123">
        <f t="shared" si="0"/>
        <v>1853999</v>
      </c>
    </row>
    <row r="9" spans="1:25" ht="28.8">
      <c r="A9" s="124" t="s">
        <v>89</v>
      </c>
      <c r="B9" s="122">
        <f>84926-15000</f>
        <v>69926</v>
      </c>
      <c r="C9" s="122">
        <v>69926</v>
      </c>
      <c r="D9" s="122">
        <f>1863+11138+10493+6837</f>
        <v>30331</v>
      </c>
      <c r="E9" s="122">
        <v>41000</v>
      </c>
      <c r="F9" s="122">
        <v>41000</v>
      </c>
      <c r="G9" s="122">
        <v>40000</v>
      </c>
      <c r="H9" s="122">
        <v>40000</v>
      </c>
      <c r="I9" s="122">
        <v>40000</v>
      </c>
      <c r="J9" s="122">
        <v>40000</v>
      </c>
      <c r="K9" s="122">
        <v>40000</v>
      </c>
      <c r="L9" s="122">
        <v>40000</v>
      </c>
      <c r="M9" s="122">
        <v>40000</v>
      </c>
      <c r="N9" s="122">
        <v>40000</v>
      </c>
      <c r="O9" s="122">
        <v>40000</v>
      </c>
      <c r="P9" s="122">
        <v>40000</v>
      </c>
      <c r="Q9" s="122">
        <v>40000</v>
      </c>
      <c r="R9" s="122">
        <v>40000</v>
      </c>
      <c r="S9" s="122">
        <v>40000</v>
      </c>
      <c r="T9" s="122">
        <v>40000</v>
      </c>
      <c r="U9" s="122">
        <v>40000</v>
      </c>
      <c r="V9" s="123">
        <f t="shared" si="0"/>
        <v>712331</v>
      </c>
    </row>
    <row r="10" spans="1:25" ht="34.200000000000003" thickBot="1">
      <c r="A10" s="492" t="s">
        <v>129</v>
      </c>
      <c r="B10" s="125"/>
      <c r="C10" s="125">
        <v>0</v>
      </c>
      <c r="D10" s="122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7"/>
      <c r="P10" s="127"/>
      <c r="Q10" s="127"/>
      <c r="R10" s="127"/>
      <c r="S10" s="127"/>
      <c r="T10" s="127"/>
      <c r="U10" s="127"/>
      <c r="V10" s="123">
        <f t="shared" si="0"/>
        <v>0</v>
      </c>
    </row>
    <row r="11" spans="1:25" ht="29.25" customHeight="1" thickBot="1">
      <c r="A11" s="128" t="s">
        <v>130</v>
      </c>
      <c r="B11" s="129">
        <f>SUM(B5:B10)</f>
        <v>3437535</v>
      </c>
      <c r="C11" s="129">
        <f t="shared" ref="C11:D11" si="1">SUM(C5:C10)</f>
        <v>3755634</v>
      </c>
      <c r="D11" s="129">
        <f t="shared" si="1"/>
        <v>1738764</v>
      </c>
      <c r="E11" s="129">
        <f t="shared" ref="E11:U11" si="2">SUM(E5:E10)</f>
        <v>3511000</v>
      </c>
      <c r="F11" s="129">
        <f t="shared" si="2"/>
        <v>3341000</v>
      </c>
      <c r="G11" s="129">
        <f t="shared" si="2"/>
        <v>3220000</v>
      </c>
      <c r="H11" s="129">
        <f t="shared" si="2"/>
        <v>3220000</v>
      </c>
      <c r="I11" s="129">
        <f t="shared" si="2"/>
        <v>3220000</v>
      </c>
      <c r="J11" s="129">
        <f t="shared" si="2"/>
        <v>3220000</v>
      </c>
      <c r="K11" s="129">
        <f t="shared" si="2"/>
        <v>3220000</v>
      </c>
      <c r="L11" s="129">
        <f t="shared" si="2"/>
        <v>3220000</v>
      </c>
      <c r="M11" s="129">
        <f t="shared" si="2"/>
        <v>3220000</v>
      </c>
      <c r="N11" s="129">
        <f t="shared" si="2"/>
        <v>3220000</v>
      </c>
      <c r="O11" s="129">
        <f t="shared" si="2"/>
        <v>3220000</v>
      </c>
      <c r="P11" s="129">
        <f t="shared" si="2"/>
        <v>3220000</v>
      </c>
      <c r="Q11" s="129">
        <f t="shared" si="2"/>
        <v>3220000</v>
      </c>
      <c r="R11" s="129">
        <f t="shared" si="2"/>
        <v>3220000</v>
      </c>
      <c r="S11" s="129">
        <f t="shared" si="2"/>
        <v>3220000</v>
      </c>
      <c r="T11" s="129">
        <f t="shared" si="2"/>
        <v>3220000</v>
      </c>
      <c r="U11" s="129">
        <f t="shared" si="2"/>
        <v>3220000</v>
      </c>
      <c r="V11" s="130">
        <f>SUM(D11:U11)</f>
        <v>56890764</v>
      </c>
    </row>
    <row r="12" spans="1:25" ht="57.6">
      <c r="A12" s="131" t="s">
        <v>131</v>
      </c>
      <c r="B12" s="132">
        <v>1230869</v>
      </c>
      <c r="C12" s="132">
        <v>1126136</v>
      </c>
      <c r="D12" s="494">
        <v>1024266</v>
      </c>
      <c r="E12" s="494">
        <v>258664</v>
      </c>
      <c r="F12" s="494">
        <v>164989</v>
      </c>
      <c r="G12" s="494">
        <v>164989</v>
      </c>
      <c r="H12" s="494">
        <v>164989</v>
      </c>
      <c r="I12" s="494">
        <v>164989</v>
      </c>
      <c r="J12" s="494">
        <v>47586</v>
      </c>
      <c r="K12" s="494">
        <v>8453</v>
      </c>
      <c r="L12" s="494">
        <v>8453</v>
      </c>
      <c r="M12" s="494">
        <v>8453</v>
      </c>
      <c r="N12" s="494">
        <v>8453</v>
      </c>
      <c r="O12" s="494">
        <v>8453</v>
      </c>
      <c r="P12" s="494">
        <v>8453</v>
      </c>
      <c r="Q12" s="494">
        <v>8453</v>
      </c>
      <c r="R12" s="494">
        <v>8453</v>
      </c>
      <c r="S12" s="494">
        <v>8452</v>
      </c>
      <c r="T12" s="494">
        <v>8452</v>
      </c>
      <c r="U12" s="494">
        <v>4226</v>
      </c>
      <c r="V12" s="132">
        <f>SUM(D12:U12)</f>
        <v>2079226</v>
      </c>
    </row>
    <row r="13" spans="1:25" ht="28.8">
      <c r="A13" s="124" t="s">
        <v>132</v>
      </c>
      <c r="B13" s="132">
        <v>386363</v>
      </c>
      <c r="C13" s="132">
        <v>306455</v>
      </c>
      <c r="D13" s="494">
        <v>200678</v>
      </c>
      <c r="E13" s="270">
        <v>226562</v>
      </c>
      <c r="F13" s="270">
        <v>226562</v>
      </c>
      <c r="G13" s="270">
        <v>226562</v>
      </c>
      <c r="H13" s="270">
        <v>226562</v>
      </c>
      <c r="I13" s="270">
        <v>226562</v>
      </c>
      <c r="J13" s="270">
        <v>226562</v>
      </c>
      <c r="K13" s="270">
        <v>226562</v>
      </c>
      <c r="L13" s="270">
        <v>226562</v>
      </c>
      <c r="M13" s="270">
        <v>226562</v>
      </c>
      <c r="N13" s="270">
        <v>226562</v>
      </c>
      <c r="O13" s="270">
        <v>226562</v>
      </c>
      <c r="P13" s="270">
        <v>226562</v>
      </c>
      <c r="Q13" s="270">
        <v>226562</v>
      </c>
      <c r="R13" s="270">
        <v>226562</v>
      </c>
      <c r="S13" s="270">
        <v>116853</v>
      </c>
      <c r="T13" s="495"/>
      <c r="U13" s="495"/>
      <c r="V13" s="132">
        <f>SUM(D13:U13)</f>
        <v>3489399</v>
      </c>
      <c r="Y13" s="136"/>
    </row>
    <row r="14" spans="1:25" ht="28.8">
      <c r="A14" s="124" t="s">
        <v>133</v>
      </c>
      <c r="B14" s="132"/>
      <c r="C14" s="132">
        <v>0</v>
      </c>
      <c r="D14" s="13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0"/>
      <c r="P14" s="120"/>
      <c r="Q14" s="120"/>
      <c r="R14" s="120"/>
      <c r="S14" s="120"/>
      <c r="T14" s="120"/>
      <c r="U14" s="120"/>
      <c r="V14" s="132">
        <f t="shared" ref="V14:V20" si="3">SUM(D14:U14)</f>
        <v>0</v>
      </c>
    </row>
    <row r="15" spans="1:25" ht="48">
      <c r="A15" s="124" t="s">
        <v>134</v>
      </c>
      <c r="B15" s="132"/>
      <c r="C15" s="132">
        <v>0</v>
      </c>
      <c r="D15" s="13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0"/>
      <c r="P15" s="120"/>
      <c r="Q15" s="120"/>
      <c r="R15" s="120"/>
      <c r="S15" s="120"/>
      <c r="T15" s="120"/>
      <c r="U15" s="120"/>
      <c r="V15" s="132">
        <f t="shared" si="3"/>
        <v>0</v>
      </c>
    </row>
    <row r="16" spans="1:25" ht="30" customHeight="1">
      <c r="A16" s="124" t="s">
        <v>141</v>
      </c>
      <c r="B16" s="132">
        <v>99192</v>
      </c>
      <c r="C16" s="132">
        <v>99192</v>
      </c>
      <c r="D16" s="13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0"/>
      <c r="P16" s="120"/>
      <c r="Q16" s="120"/>
      <c r="R16" s="120"/>
      <c r="S16" s="120"/>
      <c r="T16" s="120"/>
      <c r="U16" s="120"/>
      <c r="V16" s="132">
        <f t="shared" si="3"/>
        <v>0</v>
      </c>
    </row>
    <row r="17" spans="1:22" ht="39" customHeight="1">
      <c r="A17" s="124" t="s">
        <v>135</v>
      </c>
      <c r="B17" s="124"/>
      <c r="C17" s="124">
        <v>0</v>
      </c>
      <c r="D17" s="132"/>
      <c r="E17" s="122">
        <v>174679</v>
      </c>
      <c r="F17" s="122"/>
      <c r="G17" s="122"/>
      <c r="H17" s="122"/>
      <c r="I17" s="122"/>
      <c r="J17" s="122"/>
      <c r="K17" s="122"/>
      <c r="L17" s="122"/>
      <c r="M17" s="122"/>
      <c r="N17" s="122"/>
      <c r="O17" s="120"/>
      <c r="P17" s="120"/>
      <c r="Q17" s="120"/>
      <c r="R17" s="120"/>
      <c r="S17" s="120"/>
      <c r="T17" s="120"/>
      <c r="U17" s="120"/>
      <c r="V17" s="132">
        <f t="shared" si="3"/>
        <v>174679</v>
      </c>
    </row>
    <row r="18" spans="1:22" ht="24.75" customHeight="1">
      <c r="A18" s="124" t="s">
        <v>137</v>
      </c>
      <c r="B18" s="124"/>
      <c r="C18" s="124">
        <v>0</v>
      </c>
      <c r="D18" s="13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0"/>
      <c r="P18" s="120"/>
      <c r="Q18" s="120"/>
      <c r="R18" s="120"/>
      <c r="S18" s="120"/>
      <c r="T18" s="120"/>
      <c r="U18" s="120"/>
      <c r="V18" s="132">
        <f t="shared" si="3"/>
        <v>0</v>
      </c>
    </row>
    <row r="19" spans="1:22" ht="22.5" customHeight="1">
      <c r="A19" s="133" t="s">
        <v>136</v>
      </c>
      <c r="B19" s="134">
        <f>SUM(B12:B18)</f>
        <v>1716424</v>
      </c>
      <c r="C19" s="134">
        <f>SUM(C12:C18)</f>
        <v>1531783</v>
      </c>
      <c r="D19" s="134">
        <f>SUM(D12:D18)</f>
        <v>1224944</v>
      </c>
      <c r="E19" s="134">
        <f t="shared" ref="E19:U19" si="4">SUM(E12:E18)</f>
        <v>659905</v>
      </c>
      <c r="F19" s="134">
        <f t="shared" si="4"/>
        <v>391551</v>
      </c>
      <c r="G19" s="134">
        <f t="shared" si="4"/>
        <v>391551</v>
      </c>
      <c r="H19" s="134">
        <f t="shared" si="4"/>
        <v>391551</v>
      </c>
      <c r="I19" s="134">
        <f t="shared" si="4"/>
        <v>391551</v>
      </c>
      <c r="J19" s="134">
        <f t="shared" si="4"/>
        <v>274148</v>
      </c>
      <c r="K19" s="134">
        <f t="shared" si="4"/>
        <v>235015</v>
      </c>
      <c r="L19" s="134">
        <f t="shared" si="4"/>
        <v>235015</v>
      </c>
      <c r="M19" s="134">
        <f t="shared" si="4"/>
        <v>235015</v>
      </c>
      <c r="N19" s="134">
        <f t="shared" si="4"/>
        <v>235015</v>
      </c>
      <c r="O19" s="134">
        <f t="shared" si="4"/>
        <v>235015</v>
      </c>
      <c r="P19" s="134">
        <f t="shared" si="4"/>
        <v>235015</v>
      </c>
      <c r="Q19" s="134">
        <f t="shared" si="4"/>
        <v>235015</v>
      </c>
      <c r="R19" s="134">
        <f t="shared" si="4"/>
        <v>235015</v>
      </c>
      <c r="S19" s="134">
        <f t="shared" si="4"/>
        <v>125305</v>
      </c>
      <c r="T19" s="134">
        <f t="shared" si="4"/>
        <v>8452</v>
      </c>
      <c r="U19" s="134">
        <f t="shared" si="4"/>
        <v>4226</v>
      </c>
      <c r="V19" s="242">
        <f t="shared" si="3"/>
        <v>5743304</v>
      </c>
    </row>
    <row r="20" spans="1:22" ht="22.5" customHeight="1">
      <c r="A20" s="133" t="s">
        <v>364</v>
      </c>
      <c r="B20" s="134">
        <f>SUM(B11/2)</f>
        <v>1718767.5</v>
      </c>
      <c r="C20" s="134">
        <f t="shared" ref="C20:D20" si="5">SUM(C11/2)</f>
        <v>1877817</v>
      </c>
      <c r="D20" s="134">
        <f t="shared" si="5"/>
        <v>869382</v>
      </c>
      <c r="E20" s="134">
        <f t="shared" ref="E20:U20" si="6">SUM(E11/2)</f>
        <v>1755500</v>
      </c>
      <c r="F20" s="134">
        <f t="shared" si="6"/>
        <v>1670500</v>
      </c>
      <c r="G20" s="134">
        <f t="shared" si="6"/>
        <v>1610000</v>
      </c>
      <c r="H20" s="134">
        <f t="shared" si="6"/>
        <v>1610000</v>
      </c>
      <c r="I20" s="134">
        <f t="shared" si="6"/>
        <v>1610000</v>
      </c>
      <c r="J20" s="134">
        <f t="shared" si="6"/>
        <v>1610000</v>
      </c>
      <c r="K20" s="134">
        <f t="shared" si="6"/>
        <v>1610000</v>
      </c>
      <c r="L20" s="134">
        <f t="shared" si="6"/>
        <v>1610000</v>
      </c>
      <c r="M20" s="134">
        <f t="shared" si="6"/>
        <v>1610000</v>
      </c>
      <c r="N20" s="134">
        <f t="shared" si="6"/>
        <v>1610000</v>
      </c>
      <c r="O20" s="134">
        <f t="shared" si="6"/>
        <v>1610000</v>
      </c>
      <c r="P20" s="134">
        <f t="shared" si="6"/>
        <v>1610000</v>
      </c>
      <c r="Q20" s="134">
        <f t="shared" si="6"/>
        <v>1610000</v>
      </c>
      <c r="R20" s="134">
        <f t="shared" si="6"/>
        <v>1610000</v>
      </c>
      <c r="S20" s="134">
        <f t="shared" si="6"/>
        <v>1610000</v>
      </c>
      <c r="T20" s="134">
        <f t="shared" si="6"/>
        <v>1610000</v>
      </c>
      <c r="U20" s="134">
        <f t="shared" si="6"/>
        <v>1610000</v>
      </c>
      <c r="V20" s="242">
        <f t="shared" si="3"/>
        <v>28445382</v>
      </c>
    </row>
    <row r="21" spans="1:22" ht="14.25" customHeight="1">
      <c r="A21" s="914" t="s">
        <v>140</v>
      </c>
      <c r="B21" s="914"/>
      <c r="C21" s="914"/>
      <c r="D21" s="914"/>
      <c r="E21" s="914"/>
      <c r="F21" s="914"/>
      <c r="G21" s="914"/>
      <c r="H21" s="914"/>
      <c r="I21" s="914"/>
      <c r="J21" s="914"/>
      <c r="K21" s="914"/>
      <c r="L21" s="914"/>
      <c r="M21" s="914"/>
      <c r="N21" s="914"/>
      <c r="O21" s="914"/>
      <c r="P21" s="914"/>
      <c r="Q21" s="914"/>
      <c r="R21" s="914"/>
      <c r="S21" s="914"/>
      <c r="T21" s="914"/>
      <c r="U21" s="914"/>
      <c r="V21" s="914"/>
    </row>
    <row r="22" spans="1:22">
      <c r="A22" s="135"/>
      <c r="B22" s="135"/>
      <c r="C22" s="135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</row>
    <row r="23" spans="1:22" s="139" customFormat="1" ht="18.75" customHeight="1">
      <c r="A23" s="137"/>
      <c r="B23" s="138">
        <f>SUM(B19-B20)</f>
        <v>-2343.5</v>
      </c>
      <c r="C23" s="138">
        <f>SUM(C19-C20)</f>
        <v>-346034</v>
      </c>
      <c r="D23" s="138">
        <f t="shared" ref="D23:U23" si="7">SUM(D19-D20)</f>
        <v>355562</v>
      </c>
      <c r="E23" s="138">
        <f t="shared" si="7"/>
        <v>-1095595</v>
      </c>
      <c r="F23" s="138">
        <f t="shared" si="7"/>
        <v>-1278949</v>
      </c>
      <c r="G23" s="138">
        <f t="shared" si="7"/>
        <v>-1218449</v>
      </c>
      <c r="H23" s="138">
        <f t="shared" si="7"/>
        <v>-1218449</v>
      </c>
      <c r="I23" s="138">
        <f t="shared" si="7"/>
        <v>-1218449</v>
      </c>
      <c r="J23" s="138">
        <f t="shared" si="7"/>
        <v>-1335852</v>
      </c>
      <c r="K23" s="138">
        <f t="shared" si="7"/>
        <v>-1374985</v>
      </c>
      <c r="L23" s="138">
        <f t="shared" si="7"/>
        <v>-1374985</v>
      </c>
      <c r="M23" s="138">
        <f t="shared" si="7"/>
        <v>-1374985</v>
      </c>
      <c r="N23" s="138">
        <f t="shared" si="7"/>
        <v>-1374985</v>
      </c>
      <c r="O23" s="138">
        <f t="shared" si="7"/>
        <v>-1374985</v>
      </c>
      <c r="P23" s="138">
        <f t="shared" si="7"/>
        <v>-1374985</v>
      </c>
      <c r="Q23" s="138">
        <f t="shared" si="7"/>
        <v>-1374985</v>
      </c>
      <c r="R23" s="138">
        <f t="shared" si="7"/>
        <v>-1374985</v>
      </c>
      <c r="S23" s="138">
        <f t="shared" si="7"/>
        <v>-1484695</v>
      </c>
      <c r="T23" s="138">
        <f t="shared" si="7"/>
        <v>-1601548</v>
      </c>
      <c r="U23" s="138">
        <f t="shared" si="7"/>
        <v>-1605774</v>
      </c>
    </row>
    <row r="24" spans="1:22">
      <c r="A24" s="135"/>
      <c r="B24" s="135"/>
      <c r="C24" s="135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</row>
    <row r="25" spans="1:22">
      <c r="A25" s="135"/>
      <c r="B25" s="135"/>
      <c r="C25" s="135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</row>
    <row r="26" spans="1:22">
      <c r="A26" s="135"/>
      <c r="B26" s="135"/>
      <c r="C26" s="135"/>
      <c r="D26" s="136"/>
      <c r="E26" s="136"/>
      <c r="F26" s="136"/>
      <c r="G26" s="140"/>
      <c r="H26" s="136"/>
      <c r="I26" s="136"/>
      <c r="J26" s="136"/>
      <c r="K26" s="136"/>
      <c r="L26" s="136"/>
      <c r="M26" s="136"/>
      <c r="N26" s="136"/>
    </row>
    <row r="27" spans="1:22">
      <c r="A27" s="135"/>
      <c r="B27" s="135"/>
      <c r="C27" s="135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</row>
    <row r="28" spans="1:22"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</row>
    <row r="29" spans="1:22"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</row>
    <row r="30" spans="1:22"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</row>
    <row r="31" spans="1:22"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</row>
    <row r="32" spans="1:22"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</row>
    <row r="86" ht="18" customHeight="1"/>
  </sheetData>
  <mergeCells count="4">
    <mergeCell ref="R1:V1"/>
    <mergeCell ref="A2:V2"/>
    <mergeCell ref="K3:L3"/>
    <mergeCell ref="A21:V21"/>
  </mergeCells>
  <printOptions horizontalCentered="1" verticalCentered="1"/>
  <pageMargins left="3.937007874015748E-2" right="3.937007874015748E-2" top="0.31496062992125984" bottom="0.15748031496062992" header="0.15748031496062992" footer="0.19685039370078741"/>
  <pageSetup paperSize="9" scale="80" orientation="landscape" r:id="rId1"/>
  <headerFooter alignWithMargins="0">
    <oddHeader>&amp;LVeresegyház Város Önkormányzat</oddHeader>
    <oddFooter>&amp;LVeresegyház, 2013. Szeptember 03.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F90"/>
  <sheetViews>
    <sheetView view="pageLayout" topLeftCell="A34" workbookViewId="0">
      <selection activeCell="D28" sqref="D28"/>
    </sheetView>
  </sheetViews>
  <sheetFormatPr defaultRowHeight="13.2"/>
  <cols>
    <col min="1" max="1" width="66.44140625" style="109" customWidth="1"/>
    <col min="2" max="2" width="10.88671875" style="109" customWidth="1"/>
    <col min="3" max="3" width="10.77734375" style="109" customWidth="1"/>
    <col min="4" max="4" width="11.33203125" style="109" customWidth="1"/>
    <col min="5" max="5" width="9.21875" style="109" customWidth="1"/>
    <col min="6" max="6" width="13.77734375" style="109" customWidth="1"/>
    <col min="7" max="256" width="9.109375" style="109"/>
    <col min="257" max="257" width="72.33203125" style="109" customWidth="1"/>
    <col min="258" max="258" width="16.88671875" style="109" customWidth="1"/>
    <col min="259" max="512" width="9.109375" style="109"/>
    <col min="513" max="513" width="72.33203125" style="109" customWidth="1"/>
    <col min="514" max="514" width="16.88671875" style="109" customWidth="1"/>
    <col min="515" max="768" width="9.109375" style="109"/>
    <col min="769" max="769" width="72.33203125" style="109" customWidth="1"/>
    <col min="770" max="770" width="16.88671875" style="109" customWidth="1"/>
    <col min="771" max="1024" width="9.109375" style="109"/>
    <col min="1025" max="1025" width="72.33203125" style="109" customWidth="1"/>
    <col min="1026" max="1026" width="16.88671875" style="109" customWidth="1"/>
    <col min="1027" max="1280" width="9.109375" style="109"/>
    <col min="1281" max="1281" width="72.33203125" style="109" customWidth="1"/>
    <col min="1282" max="1282" width="16.88671875" style="109" customWidth="1"/>
    <col min="1283" max="1536" width="9.109375" style="109"/>
    <col min="1537" max="1537" width="72.33203125" style="109" customWidth="1"/>
    <col min="1538" max="1538" width="16.88671875" style="109" customWidth="1"/>
    <col min="1539" max="1792" width="9.109375" style="109"/>
    <col min="1793" max="1793" width="72.33203125" style="109" customWidth="1"/>
    <col min="1794" max="1794" width="16.88671875" style="109" customWidth="1"/>
    <col min="1795" max="2048" width="9.109375" style="109"/>
    <col min="2049" max="2049" width="72.33203125" style="109" customWidth="1"/>
    <col min="2050" max="2050" width="16.88671875" style="109" customWidth="1"/>
    <col min="2051" max="2304" width="9.109375" style="109"/>
    <col min="2305" max="2305" width="72.33203125" style="109" customWidth="1"/>
    <col min="2306" max="2306" width="16.88671875" style="109" customWidth="1"/>
    <col min="2307" max="2560" width="9.109375" style="109"/>
    <col min="2561" max="2561" width="72.33203125" style="109" customWidth="1"/>
    <col min="2562" max="2562" width="16.88671875" style="109" customWidth="1"/>
    <col min="2563" max="2816" width="9.109375" style="109"/>
    <col min="2817" max="2817" width="72.33203125" style="109" customWidth="1"/>
    <col min="2818" max="2818" width="16.88671875" style="109" customWidth="1"/>
    <col min="2819" max="3072" width="9.109375" style="109"/>
    <col min="3073" max="3073" width="72.33203125" style="109" customWidth="1"/>
    <col min="3074" max="3074" width="16.88671875" style="109" customWidth="1"/>
    <col min="3075" max="3328" width="9.109375" style="109"/>
    <col min="3329" max="3329" width="72.33203125" style="109" customWidth="1"/>
    <col min="3330" max="3330" width="16.88671875" style="109" customWidth="1"/>
    <col min="3331" max="3584" width="9.109375" style="109"/>
    <col min="3585" max="3585" width="72.33203125" style="109" customWidth="1"/>
    <col min="3586" max="3586" width="16.88671875" style="109" customWidth="1"/>
    <col min="3587" max="3840" width="9.109375" style="109"/>
    <col min="3841" max="3841" width="72.33203125" style="109" customWidth="1"/>
    <col min="3842" max="3842" width="16.88671875" style="109" customWidth="1"/>
    <col min="3843" max="4096" width="9.109375" style="109"/>
    <col min="4097" max="4097" width="72.33203125" style="109" customWidth="1"/>
    <col min="4098" max="4098" width="16.88671875" style="109" customWidth="1"/>
    <col min="4099" max="4352" width="9.109375" style="109"/>
    <col min="4353" max="4353" width="72.33203125" style="109" customWidth="1"/>
    <col min="4354" max="4354" width="16.88671875" style="109" customWidth="1"/>
    <col min="4355" max="4608" width="9.109375" style="109"/>
    <col min="4609" max="4609" width="72.33203125" style="109" customWidth="1"/>
    <col min="4610" max="4610" width="16.88671875" style="109" customWidth="1"/>
    <col min="4611" max="4864" width="9.109375" style="109"/>
    <col min="4865" max="4865" width="72.33203125" style="109" customWidth="1"/>
    <col min="4866" max="4866" width="16.88671875" style="109" customWidth="1"/>
    <col min="4867" max="5120" width="9.109375" style="109"/>
    <col min="5121" max="5121" width="72.33203125" style="109" customWidth="1"/>
    <col min="5122" max="5122" width="16.88671875" style="109" customWidth="1"/>
    <col min="5123" max="5376" width="9.109375" style="109"/>
    <col min="5377" max="5377" width="72.33203125" style="109" customWidth="1"/>
    <col min="5378" max="5378" width="16.88671875" style="109" customWidth="1"/>
    <col min="5379" max="5632" width="9.109375" style="109"/>
    <col min="5633" max="5633" width="72.33203125" style="109" customWidth="1"/>
    <col min="5634" max="5634" width="16.88671875" style="109" customWidth="1"/>
    <col min="5635" max="5888" width="9.109375" style="109"/>
    <col min="5889" max="5889" width="72.33203125" style="109" customWidth="1"/>
    <col min="5890" max="5890" width="16.88671875" style="109" customWidth="1"/>
    <col min="5891" max="6144" width="9.109375" style="109"/>
    <col min="6145" max="6145" width="72.33203125" style="109" customWidth="1"/>
    <col min="6146" max="6146" width="16.88671875" style="109" customWidth="1"/>
    <col min="6147" max="6400" width="9.109375" style="109"/>
    <col min="6401" max="6401" width="72.33203125" style="109" customWidth="1"/>
    <col min="6402" max="6402" width="16.88671875" style="109" customWidth="1"/>
    <col min="6403" max="6656" width="9.109375" style="109"/>
    <col min="6657" max="6657" width="72.33203125" style="109" customWidth="1"/>
    <col min="6658" max="6658" width="16.88671875" style="109" customWidth="1"/>
    <col min="6659" max="6912" width="9.109375" style="109"/>
    <col min="6913" max="6913" width="72.33203125" style="109" customWidth="1"/>
    <col min="6914" max="6914" width="16.88671875" style="109" customWidth="1"/>
    <col min="6915" max="7168" width="9.109375" style="109"/>
    <col min="7169" max="7169" width="72.33203125" style="109" customWidth="1"/>
    <col min="7170" max="7170" width="16.88671875" style="109" customWidth="1"/>
    <col min="7171" max="7424" width="9.109375" style="109"/>
    <col min="7425" max="7425" width="72.33203125" style="109" customWidth="1"/>
    <col min="7426" max="7426" width="16.88671875" style="109" customWidth="1"/>
    <col min="7427" max="7680" width="9.109375" style="109"/>
    <col min="7681" max="7681" width="72.33203125" style="109" customWidth="1"/>
    <col min="7682" max="7682" width="16.88671875" style="109" customWidth="1"/>
    <col min="7683" max="7936" width="9.109375" style="109"/>
    <col min="7937" max="7937" width="72.33203125" style="109" customWidth="1"/>
    <col min="7938" max="7938" width="16.88671875" style="109" customWidth="1"/>
    <col min="7939" max="8192" width="9.109375" style="109"/>
    <col min="8193" max="8193" width="72.33203125" style="109" customWidth="1"/>
    <col min="8194" max="8194" width="16.88671875" style="109" customWidth="1"/>
    <col min="8195" max="8448" width="9.109375" style="109"/>
    <col min="8449" max="8449" width="72.33203125" style="109" customWidth="1"/>
    <col min="8450" max="8450" width="16.88671875" style="109" customWidth="1"/>
    <col min="8451" max="8704" width="9.109375" style="109"/>
    <col min="8705" max="8705" width="72.33203125" style="109" customWidth="1"/>
    <col min="8706" max="8706" width="16.88671875" style="109" customWidth="1"/>
    <col min="8707" max="8960" width="9.109375" style="109"/>
    <col min="8961" max="8961" width="72.33203125" style="109" customWidth="1"/>
    <col min="8962" max="8962" width="16.88671875" style="109" customWidth="1"/>
    <col min="8963" max="9216" width="9.109375" style="109"/>
    <col min="9217" max="9217" width="72.33203125" style="109" customWidth="1"/>
    <col min="9218" max="9218" width="16.88671875" style="109" customWidth="1"/>
    <col min="9219" max="9472" width="9.109375" style="109"/>
    <col min="9473" max="9473" width="72.33203125" style="109" customWidth="1"/>
    <col min="9474" max="9474" width="16.88671875" style="109" customWidth="1"/>
    <col min="9475" max="9728" width="9.109375" style="109"/>
    <col min="9729" max="9729" width="72.33203125" style="109" customWidth="1"/>
    <col min="9730" max="9730" width="16.88671875" style="109" customWidth="1"/>
    <col min="9731" max="9984" width="9.109375" style="109"/>
    <col min="9985" max="9985" width="72.33203125" style="109" customWidth="1"/>
    <col min="9986" max="9986" width="16.88671875" style="109" customWidth="1"/>
    <col min="9987" max="10240" width="9.109375" style="109"/>
    <col min="10241" max="10241" width="72.33203125" style="109" customWidth="1"/>
    <col min="10242" max="10242" width="16.88671875" style="109" customWidth="1"/>
    <col min="10243" max="10496" width="9.109375" style="109"/>
    <col min="10497" max="10497" width="72.33203125" style="109" customWidth="1"/>
    <col min="10498" max="10498" width="16.88671875" style="109" customWidth="1"/>
    <col min="10499" max="10752" width="9.109375" style="109"/>
    <col min="10753" max="10753" width="72.33203125" style="109" customWidth="1"/>
    <col min="10754" max="10754" width="16.88671875" style="109" customWidth="1"/>
    <col min="10755" max="11008" width="9.109375" style="109"/>
    <col min="11009" max="11009" width="72.33203125" style="109" customWidth="1"/>
    <col min="11010" max="11010" width="16.88671875" style="109" customWidth="1"/>
    <col min="11011" max="11264" width="9.109375" style="109"/>
    <col min="11265" max="11265" width="72.33203125" style="109" customWidth="1"/>
    <col min="11266" max="11266" width="16.88671875" style="109" customWidth="1"/>
    <col min="11267" max="11520" width="9.109375" style="109"/>
    <col min="11521" max="11521" width="72.33203125" style="109" customWidth="1"/>
    <col min="11522" max="11522" width="16.88671875" style="109" customWidth="1"/>
    <col min="11523" max="11776" width="9.109375" style="109"/>
    <col min="11777" max="11777" width="72.33203125" style="109" customWidth="1"/>
    <col min="11778" max="11778" width="16.88671875" style="109" customWidth="1"/>
    <col min="11779" max="12032" width="9.109375" style="109"/>
    <col min="12033" max="12033" width="72.33203125" style="109" customWidth="1"/>
    <col min="12034" max="12034" width="16.88671875" style="109" customWidth="1"/>
    <col min="12035" max="12288" width="9.109375" style="109"/>
    <col min="12289" max="12289" width="72.33203125" style="109" customWidth="1"/>
    <col min="12290" max="12290" width="16.88671875" style="109" customWidth="1"/>
    <col min="12291" max="12544" width="9.109375" style="109"/>
    <col min="12545" max="12545" width="72.33203125" style="109" customWidth="1"/>
    <col min="12546" max="12546" width="16.88671875" style="109" customWidth="1"/>
    <col min="12547" max="12800" width="9.109375" style="109"/>
    <col min="12801" max="12801" width="72.33203125" style="109" customWidth="1"/>
    <col min="12802" max="12802" width="16.88671875" style="109" customWidth="1"/>
    <col min="12803" max="13056" width="9.109375" style="109"/>
    <col min="13057" max="13057" width="72.33203125" style="109" customWidth="1"/>
    <col min="13058" max="13058" width="16.88671875" style="109" customWidth="1"/>
    <col min="13059" max="13312" width="9.109375" style="109"/>
    <col min="13313" max="13313" width="72.33203125" style="109" customWidth="1"/>
    <col min="13314" max="13314" width="16.88671875" style="109" customWidth="1"/>
    <col min="13315" max="13568" width="9.109375" style="109"/>
    <col min="13569" max="13569" width="72.33203125" style="109" customWidth="1"/>
    <col min="13570" max="13570" width="16.88671875" style="109" customWidth="1"/>
    <col min="13571" max="13824" width="9.109375" style="109"/>
    <col min="13825" max="13825" width="72.33203125" style="109" customWidth="1"/>
    <col min="13826" max="13826" width="16.88671875" style="109" customWidth="1"/>
    <col min="13827" max="14080" width="9.109375" style="109"/>
    <col min="14081" max="14081" width="72.33203125" style="109" customWidth="1"/>
    <col min="14082" max="14082" width="16.88671875" style="109" customWidth="1"/>
    <col min="14083" max="14336" width="9.109375" style="109"/>
    <col min="14337" max="14337" width="72.33203125" style="109" customWidth="1"/>
    <col min="14338" max="14338" width="16.88671875" style="109" customWidth="1"/>
    <col min="14339" max="14592" width="9.109375" style="109"/>
    <col min="14593" max="14593" width="72.33203125" style="109" customWidth="1"/>
    <col min="14594" max="14594" width="16.88671875" style="109" customWidth="1"/>
    <col min="14595" max="14848" width="9.109375" style="109"/>
    <col min="14849" max="14849" width="72.33203125" style="109" customWidth="1"/>
    <col min="14850" max="14850" width="16.88671875" style="109" customWidth="1"/>
    <col min="14851" max="15104" width="9.109375" style="109"/>
    <col min="15105" max="15105" width="72.33203125" style="109" customWidth="1"/>
    <col min="15106" max="15106" width="16.88671875" style="109" customWidth="1"/>
    <col min="15107" max="15360" width="9.109375" style="109"/>
    <col min="15361" max="15361" width="72.33203125" style="109" customWidth="1"/>
    <col min="15362" max="15362" width="16.88671875" style="109" customWidth="1"/>
    <col min="15363" max="15616" width="9.109375" style="109"/>
    <col min="15617" max="15617" width="72.33203125" style="109" customWidth="1"/>
    <col min="15618" max="15618" width="16.88671875" style="109" customWidth="1"/>
    <col min="15619" max="15872" width="9.109375" style="109"/>
    <col min="15873" max="15873" width="72.33203125" style="109" customWidth="1"/>
    <col min="15874" max="15874" width="16.88671875" style="109" customWidth="1"/>
    <col min="15875" max="16128" width="9.109375" style="109"/>
    <col min="16129" max="16129" width="72.33203125" style="109" customWidth="1"/>
    <col min="16130" max="16130" width="16.88671875" style="109" customWidth="1"/>
    <col min="16131" max="16384" width="9.109375" style="109"/>
  </cols>
  <sheetData>
    <row r="1" spans="1:6">
      <c r="A1" s="915"/>
      <c r="B1" s="916"/>
      <c r="D1" s="107" t="s">
        <v>365</v>
      </c>
    </row>
    <row r="2" spans="1:6">
      <c r="A2" s="919" t="s">
        <v>22</v>
      </c>
      <c r="B2" s="919"/>
      <c r="C2" s="920"/>
      <c r="D2" s="920"/>
      <c r="E2" s="920"/>
      <c r="F2" s="920"/>
    </row>
    <row r="3" spans="1:6">
      <c r="A3" s="919" t="s">
        <v>107</v>
      </c>
      <c r="B3" s="919"/>
      <c r="C3" s="920"/>
      <c r="D3" s="920"/>
      <c r="E3" s="920"/>
      <c r="F3" s="920"/>
    </row>
    <row r="4" spans="1:6" s="251" customFormat="1">
      <c r="A4" s="268">
        <v>41455</v>
      </c>
      <c r="B4" s="254"/>
    </row>
    <row r="5" spans="1:6" ht="13.8" thickBot="1">
      <c r="A5" s="141"/>
      <c r="D5" s="218" t="s">
        <v>80</v>
      </c>
    </row>
    <row r="6" spans="1:6">
      <c r="A6" s="142" t="s">
        <v>91</v>
      </c>
      <c r="B6" s="921" t="s">
        <v>108</v>
      </c>
      <c r="C6" s="922"/>
      <c r="D6" s="923"/>
    </row>
    <row r="7" spans="1:6" ht="44.4" customHeight="1">
      <c r="A7" s="211"/>
      <c r="B7" s="229" t="s">
        <v>231</v>
      </c>
      <c r="C7" s="229" t="s">
        <v>525</v>
      </c>
      <c r="D7" s="230" t="s">
        <v>743</v>
      </c>
    </row>
    <row r="8" spans="1:6">
      <c r="A8" s="143" t="s">
        <v>81</v>
      </c>
      <c r="B8" s="212">
        <v>3123200</v>
      </c>
      <c r="C8" s="212">
        <v>3315000</v>
      </c>
      <c r="D8" s="215">
        <v>1624434</v>
      </c>
    </row>
    <row r="9" spans="1:6" ht="21" customHeight="1">
      <c r="A9" s="144" t="s">
        <v>82</v>
      </c>
      <c r="B9" s="212"/>
      <c r="C9" s="212"/>
      <c r="D9" s="215"/>
    </row>
    <row r="10" spans="1:6">
      <c r="A10" s="143" t="s">
        <v>83</v>
      </c>
      <c r="B10" s="212"/>
      <c r="C10" s="212"/>
      <c r="D10" s="215"/>
    </row>
    <row r="11" spans="1:6">
      <c r="A11" s="143" t="s">
        <v>84</v>
      </c>
      <c r="B11" s="212">
        <v>244409</v>
      </c>
      <c r="C11" s="212">
        <v>370708</v>
      </c>
      <c r="D11" s="215">
        <v>83999</v>
      </c>
      <c r="E11" s="115"/>
    </row>
    <row r="12" spans="1:6">
      <c r="A12" s="143" t="s">
        <v>85</v>
      </c>
      <c r="B12" s="212"/>
      <c r="C12" s="212"/>
      <c r="D12" s="215"/>
    </row>
    <row r="13" spans="1:6">
      <c r="A13" s="143" t="s">
        <v>86</v>
      </c>
      <c r="B13" s="212"/>
      <c r="C13" s="212"/>
      <c r="D13" s="215"/>
    </row>
    <row r="14" spans="1:6">
      <c r="A14" s="143" t="s">
        <v>87</v>
      </c>
      <c r="B14" s="212"/>
      <c r="C14" s="212"/>
      <c r="D14" s="215"/>
    </row>
    <row r="15" spans="1:6">
      <c r="A15" s="143" t="s">
        <v>88</v>
      </c>
      <c r="B15" s="212"/>
      <c r="C15" s="212"/>
      <c r="D15" s="215"/>
    </row>
    <row r="16" spans="1:6">
      <c r="A16" s="143" t="s">
        <v>89</v>
      </c>
      <c r="B16" s="212">
        <v>69926</v>
      </c>
      <c r="C16" s="212">
        <v>69926</v>
      </c>
      <c r="D16" s="215">
        <v>30331</v>
      </c>
    </row>
    <row r="17" spans="1:6">
      <c r="A17" s="143" t="s">
        <v>90</v>
      </c>
      <c r="B17" s="212"/>
      <c r="C17" s="212"/>
      <c r="D17" s="215"/>
    </row>
    <row r="18" spans="1:6" ht="18.75" customHeight="1">
      <c r="A18" s="145" t="s">
        <v>92</v>
      </c>
      <c r="B18" s="213">
        <f>SUM(B8:B17)</f>
        <v>3437535</v>
      </c>
      <c r="C18" s="213">
        <f>SUM(C8:C17)</f>
        <v>3755634</v>
      </c>
      <c r="D18" s="216">
        <f t="shared" ref="D18" si="0">SUM(D8:D17)</f>
        <v>1738764</v>
      </c>
    </row>
    <row r="19" spans="1:6">
      <c r="A19" s="146"/>
      <c r="B19" s="214"/>
      <c r="C19" s="214"/>
      <c r="D19" s="217"/>
    </row>
    <row r="20" spans="1:6" ht="24" customHeight="1" thickBot="1">
      <c r="A20" s="924" t="s">
        <v>106</v>
      </c>
      <c r="B20" s="925"/>
      <c r="C20" s="925"/>
      <c r="D20" s="926"/>
      <c r="E20" s="498"/>
      <c r="F20" s="499"/>
    </row>
    <row r="21" spans="1:6">
      <c r="A21" s="219"/>
      <c r="B21" s="219"/>
    </row>
    <row r="22" spans="1:6">
      <c r="A22" s="917"/>
      <c r="B22" s="918"/>
      <c r="D22" s="107" t="s">
        <v>376</v>
      </c>
    </row>
    <row r="23" spans="1:6">
      <c r="A23" s="929" t="s">
        <v>22</v>
      </c>
      <c r="B23" s="929"/>
      <c r="C23" s="920"/>
      <c r="D23" s="920"/>
    </row>
    <row r="24" spans="1:6" ht="27" customHeight="1">
      <c r="A24" s="930" t="s">
        <v>538</v>
      </c>
      <c r="B24" s="930"/>
      <c r="C24" s="931"/>
      <c r="D24" s="231"/>
    </row>
    <row r="25" spans="1:6" s="251" customFormat="1" ht="27" customHeight="1" thickBot="1">
      <c r="A25" s="269" t="s">
        <v>562</v>
      </c>
      <c r="B25" s="252"/>
      <c r="C25" s="253"/>
      <c r="D25" s="231" t="s">
        <v>80</v>
      </c>
    </row>
    <row r="26" spans="1:6">
      <c r="A26" s="142" t="s">
        <v>740</v>
      </c>
      <c r="B26" s="921" t="s">
        <v>75</v>
      </c>
      <c r="C26" s="922"/>
      <c r="D26" s="923"/>
    </row>
    <row r="27" spans="1:6" ht="37.799999999999997" customHeight="1">
      <c r="A27" s="147"/>
      <c r="B27" s="229" t="s">
        <v>231</v>
      </c>
      <c r="C27" s="229" t="s">
        <v>525</v>
      </c>
      <c r="D27" s="230" t="s">
        <v>756</v>
      </c>
    </row>
    <row r="28" spans="1:6">
      <c r="A28" s="143" t="s">
        <v>93</v>
      </c>
      <c r="B28" s="220">
        <v>8685056</v>
      </c>
      <c r="C28" s="493">
        <v>8685056</v>
      </c>
      <c r="D28" s="223">
        <v>5568625</v>
      </c>
    </row>
    <row r="29" spans="1:6">
      <c r="A29" s="143" t="s">
        <v>94</v>
      </c>
      <c r="B29" s="220"/>
      <c r="C29" s="226"/>
      <c r="D29" s="223"/>
    </row>
    <row r="30" spans="1:6">
      <c r="A30" s="143" t="s">
        <v>95</v>
      </c>
      <c r="B30" s="220"/>
      <c r="C30" s="226"/>
      <c r="D30" s="223"/>
    </row>
    <row r="31" spans="1:6">
      <c r="A31" s="143" t="s">
        <v>96</v>
      </c>
      <c r="B31" s="220"/>
      <c r="C31" s="226"/>
      <c r="D31" s="223"/>
    </row>
    <row r="32" spans="1:6" ht="23.25" customHeight="1">
      <c r="A32" s="144" t="s">
        <v>97</v>
      </c>
      <c r="B32" s="220"/>
      <c r="C32" s="226"/>
      <c r="D32" s="223"/>
    </row>
    <row r="33" spans="1:4">
      <c r="A33" s="143" t="s">
        <v>98</v>
      </c>
      <c r="B33" s="220"/>
      <c r="C33" s="226"/>
      <c r="D33" s="223"/>
    </row>
    <row r="34" spans="1:4" ht="25.5" customHeight="1">
      <c r="A34" s="144" t="s">
        <v>99</v>
      </c>
      <c r="B34" s="220"/>
      <c r="C34" s="226"/>
      <c r="D34" s="223"/>
    </row>
    <row r="35" spans="1:4" ht="24.75" customHeight="1">
      <c r="A35" s="144" t="s">
        <v>100</v>
      </c>
      <c r="B35" s="220"/>
      <c r="C35" s="226"/>
      <c r="D35" s="223"/>
    </row>
    <row r="36" spans="1:4" ht="33" customHeight="1">
      <c r="A36" s="144" t="s">
        <v>101</v>
      </c>
      <c r="B36" s="220">
        <v>99192</v>
      </c>
      <c r="C36" s="226">
        <v>99192</v>
      </c>
      <c r="D36" s="223">
        <v>0</v>
      </c>
    </row>
    <row r="37" spans="1:4" ht="27" customHeight="1">
      <c r="A37" s="144" t="s">
        <v>102</v>
      </c>
      <c r="B37" s="220">
        <v>174679</v>
      </c>
      <c r="C37" s="226">
        <v>174679</v>
      </c>
      <c r="D37" s="223">
        <v>0</v>
      </c>
    </row>
    <row r="38" spans="1:4" ht="29.25" customHeight="1">
      <c r="A38" s="144" t="s">
        <v>103</v>
      </c>
      <c r="B38" s="220"/>
      <c r="C38" s="226"/>
      <c r="D38" s="223"/>
    </row>
    <row r="39" spans="1:4" ht="24" customHeight="1">
      <c r="A39" s="148" t="s">
        <v>105</v>
      </c>
      <c r="B39" s="221">
        <f>SUM(B28:B38)</f>
        <v>8958927</v>
      </c>
      <c r="C39" s="227">
        <f t="shared" ref="C39:D39" si="1">SUM(C28:C38)</f>
        <v>8958927</v>
      </c>
      <c r="D39" s="224">
        <f t="shared" si="1"/>
        <v>5568625</v>
      </c>
    </row>
    <row r="40" spans="1:4" ht="18" customHeight="1">
      <c r="A40" s="149"/>
      <c r="B40" s="222"/>
      <c r="C40" s="228"/>
      <c r="D40" s="225"/>
    </row>
    <row r="41" spans="1:4">
      <c r="A41" s="935" t="s">
        <v>104</v>
      </c>
      <c r="B41" s="936"/>
      <c r="C41" s="937"/>
      <c r="D41" s="938"/>
    </row>
    <row r="42" spans="1:4" ht="13.8" thickBot="1">
      <c r="A42" s="939"/>
      <c r="B42" s="940"/>
      <c r="C42" s="940"/>
      <c r="D42" s="941"/>
    </row>
    <row r="43" spans="1:4">
      <c r="A43" s="232"/>
      <c r="D43" s="239" t="s">
        <v>327</v>
      </c>
    </row>
    <row r="44" spans="1:4">
      <c r="A44" s="932" t="s">
        <v>73</v>
      </c>
      <c r="B44" s="932"/>
      <c r="C44" s="920"/>
      <c r="D44" s="920"/>
    </row>
    <row r="45" spans="1:4" ht="15.75" customHeight="1">
      <c r="A45" s="933" t="s">
        <v>537</v>
      </c>
      <c r="B45" s="933"/>
      <c r="C45" s="934"/>
      <c r="D45" s="240" t="s">
        <v>109</v>
      </c>
    </row>
    <row r="46" spans="1:4" s="251" customFormat="1" ht="15.75" customHeight="1" thickBot="1">
      <c r="A46" s="277"/>
      <c r="B46" s="277"/>
      <c r="C46" s="278"/>
      <c r="D46" s="240"/>
    </row>
    <row r="47" spans="1:4">
      <c r="A47" s="472" t="s">
        <v>110</v>
      </c>
      <c r="B47" s="927" t="s">
        <v>75</v>
      </c>
      <c r="C47" s="928"/>
      <c r="D47" s="923"/>
    </row>
    <row r="48" spans="1:4" ht="40.200000000000003" customHeight="1">
      <c r="A48" s="152"/>
      <c r="B48" s="229" t="s">
        <v>231</v>
      </c>
      <c r="C48" s="229" t="s">
        <v>525</v>
      </c>
      <c r="D48" s="230" t="s">
        <v>743</v>
      </c>
    </row>
    <row r="49" spans="1:4">
      <c r="A49" s="153" t="s">
        <v>366</v>
      </c>
      <c r="B49" s="220">
        <v>254727</v>
      </c>
      <c r="C49" s="226">
        <v>254727</v>
      </c>
      <c r="D49" s="223"/>
    </row>
    <row r="50" spans="1:4">
      <c r="A50" s="153" t="s">
        <v>366</v>
      </c>
      <c r="B50" s="220">
        <v>9817</v>
      </c>
      <c r="C50" s="226">
        <v>9817</v>
      </c>
      <c r="D50" s="223"/>
    </row>
    <row r="51" spans="1:4">
      <c r="A51" s="153" t="s">
        <v>367</v>
      </c>
      <c r="B51" s="220">
        <v>110</v>
      </c>
      <c r="C51" s="226">
        <v>0</v>
      </c>
      <c r="D51" s="223"/>
    </row>
    <row r="52" spans="1:4">
      <c r="A52" s="153" t="s">
        <v>739</v>
      </c>
      <c r="B52" s="220">
        <v>0</v>
      </c>
      <c r="C52" s="226">
        <v>100</v>
      </c>
      <c r="D52" s="223"/>
    </row>
    <row r="53" spans="1:4">
      <c r="A53" s="153" t="s">
        <v>738</v>
      </c>
      <c r="B53" s="233"/>
      <c r="C53" s="237">
        <v>150</v>
      </c>
      <c r="D53" s="223"/>
    </row>
    <row r="54" spans="1:4">
      <c r="A54" s="151"/>
      <c r="B54" s="233"/>
      <c r="C54" s="237"/>
      <c r="D54" s="235"/>
    </row>
    <row r="55" spans="1:4" ht="13.8" thickBot="1">
      <c r="A55" s="150" t="s">
        <v>43</v>
      </c>
      <c r="B55" s="234">
        <f>SUM(B49:B54)</f>
        <v>264654</v>
      </c>
      <c r="C55" s="238">
        <f t="shared" ref="C55:D55" si="2">SUM(C49:C54)</f>
        <v>264794</v>
      </c>
      <c r="D55" s="236">
        <f t="shared" si="2"/>
        <v>0</v>
      </c>
    </row>
    <row r="90" ht="18" customHeight="1"/>
  </sheetData>
  <mergeCells count="13">
    <mergeCell ref="B47:D47"/>
    <mergeCell ref="A23:D23"/>
    <mergeCell ref="A24:C24"/>
    <mergeCell ref="A44:D44"/>
    <mergeCell ref="A45:C45"/>
    <mergeCell ref="B26:D26"/>
    <mergeCell ref="A41:D42"/>
    <mergeCell ref="A1:B1"/>
    <mergeCell ref="A22:B22"/>
    <mergeCell ref="A2:F2"/>
    <mergeCell ref="A3:F3"/>
    <mergeCell ref="B6:D6"/>
    <mergeCell ref="A20:D20"/>
  </mergeCells>
  <printOptions horizontalCentered="1"/>
  <pageMargins left="0.23622047244094491" right="0.23622047244094491" top="0.31496062992125984" bottom="0.15748031496062992" header="0.15748031496062992" footer="0.19685039370078741"/>
  <pageSetup paperSize="9" scale="80" orientation="portrait" r:id="rId1"/>
  <headerFooter alignWithMargins="0">
    <oddHeader>&amp;LVeresegyház Város Önkormányzat</oddHeader>
    <oddFooter>&amp;LVeresegyház, 2013. Szeptember 03.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AE169"/>
  <sheetViews>
    <sheetView tabSelected="1" topLeftCell="F13" zoomScale="80" zoomScaleNormal="80" workbookViewId="0">
      <selection activeCell="U37" sqref="U37:U40"/>
    </sheetView>
  </sheetViews>
  <sheetFormatPr defaultRowHeight="13.2"/>
  <cols>
    <col min="1" max="1" width="10.5546875" customWidth="1"/>
    <col min="2" max="2" width="14.33203125" customWidth="1"/>
    <col min="3" max="3" width="10.88671875" customWidth="1"/>
    <col min="4" max="4" width="12.33203125" customWidth="1"/>
    <col min="5" max="5" width="12.77734375" customWidth="1"/>
    <col min="6" max="6" width="10.44140625" customWidth="1"/>
    <col min="7" max="7" width="12.6640625" customWidth="1"/>
    <col min="8" max="8" width="12.109375" customWidth="1"/>
    <col min="9" max="9" width="10.5546875" customWidth="1"/>
    <col min="10" max="10" width="8.77734375" customWidth="1"/>
    <col min="11" max="11" width="11.33203125" customWidth="1"/>
    <col min="12" max="12" width="10" customWidth="1"/>
    <col min="13" max="13" width="11" customWidth="1"/>
    <col min="14" max="14" width="9.88671875" customWidth="1"/>
    <col min="15" max="15" width="10.44140625" customWidth="1"/>
    <col min="16" max="16" width="10.77734375" customWidth="1"/>
    <col min="17" max="17" width="9.44140625" customWidth="1"/>
    <col min="18" max="18" width="10.33203125" customWidth="1"/>
    <col min="19" max="19" width="10.77734375" customWidth="1"/>
    <col min="20" max="20" width="8.44140625" customWidth="1"/>
    <col min="21" max="21" width="8" customWidth="1"/>
    <col min="22" max="22" width="11" customWidth="1"/>
    <col min="23" max="23" width="10.109375" customWidth="1"/>
    <col min="24" max="24" width="10.44140625" customWidth="1"/>
    <col min="25" max="26" width="10.88671875" customWidth="1"/>
    <col min="27" max="27" width="10.6640625" customWidth="1"/>
    <col min="28" max="28" width="9.88671875" customWidth="1"/>
    <col min="31" max="31" width="10.77734375" customWidth="1"/>
    <col min="34" max="34" width="12.44140625" customWidth="1"/>
    <col min="37" max="37" width="9.88671875" customWidth="1"/>
    <col min="40" max="40" width="10.6640625" customWidth="1"/>
    <col min="43" max="43" width="10.5546875" customWidth="1"/>
    <col min="46" max="46" width="9.88671875" customWidth="1"/>
  </cols>
  <sheetData>
    <row r="1" spans="1:27" ht="13.8">
      <c r="A1" s="65" t="s">
        <v>499</v>
      </c>
      <c r="Z1" s="2" t="s">
        <v>501</v>
      </c>
    </row>
    <row r="2" spans="1:27">
      <c r="A2" s="65" t="s">
        <v>500</v>
      </c>
    </row>
    <row r="4" spans="1:27">
      <c r="A4" s="727" t="s">
        <v>143</v>
      </c>
      <c r="B4" s="727"/>
      <c r="C4" s="727"/>
      <c r="D4" s="727"/>
      <c r="E4" s="727"/>
      <c r="F4" s="727"/>
      <c r="G4" s="727"/>
      <c r="H4" s="727"/>
      <c r="I4" s="727"/>
      <c r="J4" s="701"/>
      <c r="K4" s="701"/>
      <c r="L4" s="701"/>
      <c r="M4" s="701"/>
      <c r="N4" s="701"/>
      <c r="O4" s="701"/>
      <c r="P4" s="701"/>
      <c r="Q4" s="701"/>
      <c r="R4" s="701"/>
      <c r="S4" s="701"/>
      <c r="T4" s="701"/>
      <c r="U4" s="701"/>
      <c r="V4" s="701"/>
      <c r="W4" s="701"/>
      <c r="X4" s="701"/>
      <c r="Y4" s="701"/>
      <c r="Z4" s="701"/>
      <c r="AA4" s="701"/>
    </row>
    <row r="5" spans="1:27">
      <c r="C5" s="1"/>
      <c r="M5" s="508">
        <v>41455</v>
      </c>
    </row>
    <row r="6" spans="1:27">
      <c r="AA6" s="3" t="s">
        <v>0</v>
      </c>
    </row>
    <row r="7" spans="1:27" ht="17.25" customHeight="1">
      <c r="A7" s="950" t="s">
        <v>2</v>
      </c>
      <c r="B7" s="942" t="s">
        <v>545</v>
      </c>
      <c r="C7" s="943"/>
      <c r="D7" s="889"/>
      <c r="E7" s="942" t="s">
        <v>546</v>
      </c>
      <c r="F7" s="943"/>
      <c r="G7" s="889"/>
      <c r="H7" s="942" t="s">
        <v>558</v>
      </c>
      <c r="I7" s="943"/>
      <c r="J7" s="889"/>
      <c r="K7" s="942" t="s">
        <v>559</v>
      </c>
      <c r="L7" s="943"/>
      <c r="M7" s="889"/>
      <c r="N7" s="946" t="s">
        <v>560</v>
      </c>
      <c r="O7" s="956"/>
      <c r="P7" s="947"/>
      <c r="Q7" s="946" t="s">
        <v>561</v>
      </c>
      <c r="R7" s="956"/>
      <c r="S7" s="947"/>
      <c r="T7" s="769" t="s">
        <v>19</v>
      </c>
      <c r="U7" s="769"/>
      <c r="V7" s="942" t="s">
        <v>547</v>
      </c>
      <c r="W7" s="943"/>
      <c r="X7" s="889"/>
      <c r="Y7" s="942" t="s">
        <v>548</v>
      </c>
      <c r="Z7" s="943"/>
      <c r="AA7" s="889"/>
    </row>
    <row r="8" spans="1:27" ht="48.6" customHeight="1">
      <c r="A8" s="950"/>
      <c r="B8" s="265" t="s">
        <v>523</v>
      </c>
      <c r="C8" s="502" t="s">
        <v>525</v>
      </c>
      <c r="D8" s="502" t="s">
        <v>743</v>
      </c>
      <c r="E8" s="265" t="s">
        <v>523</v>
      </c>
      <c r="F8" s="502" t="s">
        <v>525</v>
      </c>
      <c r="G8" s="502" t="s">
        <v>743</v>
      </c>
      <c r="H8" s="265" t="s">
        <v>523</v>
      </c>
      <c r="I8" s="502" t="s">
        <v>525</v>
      </c>
      <c r="J8" s="502" t="s">
        <v>743</v>
      </c>
      <c r="K8" s="265" t="s">
        <v>523</v>
      </c>
      <c r="L8" s="502" t="s">
        <v>525</v>
      </c>
      <c r="M8" s="502" t="s">
        <v>743</v>
      </c>
      <c r="N8" s="265" t="s">
        <v>523</v>
      </c>
      <c r="O8" s="502" t="s">
        <v>525</v>
      </c>
      <c r="P8" s="502" t="s">
        <v>743</v>
      </c>
      <c r="Q8" s="265" t="s">
        <v>523</v>
      </c>
      <c r="R8" s="502" t="s">
        <v>525</v>
      </c>
      <c r="S8" s="502" t="s">
        <v>743</v>
      </c>
      <c r="T8" s="98" t="s">
        <v>20</v>
      </c>
      <c r="U8" s="98" t="s">
        <v>21</v>
      </c>
      <c r="V8" s="265" t="s">
        <v>523</v>
      </c>
      <c r="W8" s="502" t="s">
        <v>525</v>
      </c>
      <c r="X8" s="502" t="s">
        <v>743</v>
      </c>
      <c r="Y8" s="265" t="s">
        <v>523</v>
      </c>
      <c r="Z8" s="502" t="s">
        <v>525</v>
      </c>
      <c r="AA8" s="502" t="s">
        <v>743</v>
      </c>
    </row>
    <row r="9" spans="1:27" ht="19.5" customHeight="1">
      <c r="A9" s="99" t="s">
        <v>3</v>
      </c>
      <c r="B9" s="31">
        <v>296615.74999999994</v>
      </c>
      <c r="C9" s="31">
        <f t="shared" ref="C9:C14" si="0">+C34+D81+F132-C132</f>
        <v>278880.00033333327</v>
      </c>
      <c r="D9" s="31">
        <f>+D34+E81+M132+S132+D152+J152+P152+V152+1</f>
        <v>346153</v>
      </c>
      <c r="E9" s="31">
        <v>326981.27999999997</v>
      </c>
      <c r="F9" s="31">
        <f t="shared" ref="F9:F14" si="1">+F34+G81+I132-C132</f>
        <v>369955.27999999997</v>
      </c>
      <c r="G9" s="31">
        <f>+G34+T81+J132-D132-B81</f>
        <v>84485</v>
      </c>
      <c r="H9" s="99">
        <f>+H34</f>
        <v>0</v>
      </c>
      <c r="I9" s="279">
        <f t="shared" ref="I9" si="2">+I34</f>
        <v>0</v>
      </c>
      <c r="J9" s="279">
        <f>+J34</f>
        <v>0</v>
      </c>
      <c r="K9" s="31">
        <f t="shared" ref="K9" si="3">+K34</f>
        <v>158965.91900000002</v>
      </c>
      <c r="L9" s="31">
        <f t="shared" ref="L9" si="4">+L34</f>
        <v>158965.91900000002</v>
      </c>
      <c r="M9" s="31">
        <f>+M34</f>
        <v>259452</v>
      </c>
      <c r="N9" s="31">
        <f t="shared" ref="N9" si="5">+N34</f>
        <v>0</v>
      </c>
      <c r="O9" s="31">
        <f t="shared" ref="O9" si="6">+O34</f>
        <v>0</v>
      </c>
      <c r="P9" s="31">
        <f t="shared" ref="P9" si="7">+P34</f>
        <v>0</v>
      </c>
      <c r="Q9" s="31">
        <f t="shared" ref="Q9" si="8">+Q34</f>
        <v>59785.245000000003</v>
      </c>
      <c r="R9" s="31">
        <f t="shared" ref="R9" si="9">+R34</f>
        <v>59785.245000000003</v>
      </c>
      <c r="S9" s="31">
        <f t="shared" ref="S9" si="10">+S34</f>
        <v>60479</v>
      </c>
      <c r="T9" s="99">
        <f t="shared" ref="T9:T20" si="11">+T34</f>
        <v>0</v>
      </c>
      <c r="U9" s="99">
        <f t="shared" ref="U9:U20" si="12">+U34</f>
        <v>0</v>
      </c>
      <c r="V9" s="31">
        <f t="shared" ref="V9:V21" si="13">+B9+H9+N9+T9</f>
        <v>296615.74999999994</v>
      </c>
      <c r="W9" s="31">
        <f>+C9+I9+O9</f>
        <v>278880.00033333327</v>
      </c>
      <c r="X9" s="31">
        <f>+D9+J9+P9</f>
        <v>346153</v>
      </c>
      <c r="Y9" s="31">
        <f t="shared" ref="Y9:Y20" si="14">+E9+K9+Q9+U9</f>
        <v>545732.44400000002</v>
      </c>
      <c r="Z9" s="31">
        <f>+F9+L9+R9</f>
        <v>588706.44400000002</v>
      </c>
      <c r="AA9" s="31">
        <f>+G9+M9+S9</f>
        <v>404416</v>
      </c>
    </row>
    <row r="10" spans="1:27" ht="19.5" customHeight="1">
      <c r="A10" s="99" t="s">
        <v>4</v>
      </c>
      <c r="B10" s="31">
        <v>268357.74999999994</v>
      </c>
      <c r="C10" s="31">
        <f t="shared" si="0"/>
        <v>214537.00033333327</v>
      </c>
      <c r="D10" s="31">
        <f t="shared" ref="D10:D14" si="15">+D35+E82+M133+S133+D153+J153+P153+V153</f>
        <v>351926</v>
      </c>
      <c r="E10" s="31">
        <v>308274.68499999994</v>
      </c>
      <c r="F10" s="31">
        <f t="shared" si="1"/>
        <v>351743.68499999994</v>
      </c>
      <c r="G10" s="31">
        <f t="shared" ref="G10:G14" si="16">+G35+T82+J133-D133-B82</f>
        <v>298993</v>
      </c>
      <c r="H10" s="279">
        <f t="shared" ref="H10:J10" si="17">+H35</f>
        <v>0</v>
      </c>
      <c r="I10" s="279">
        <f t="shared" si="17"/>
        <v>0</v>
      </c>
      <c r="J10" s="513">
        <f t="shared" si="17"/>
        <v>0</v>
      </c>
      <c r="K10" s="31">
        <f t="shared" ref="K10:K20" si="18">+K35</f>
        <v>4322.0829999999996</v>
      </c>
      <c r="L10" s="31">
        <f t="shared" ref="L10:M20" si="19">+L35</f>
        <v>4322.0829999999996</v>
      </c>
      <c r="M10" s="31">
        <f t="shared" si="19"/>
        <v>63524</v>
      </c>
      <c r="N10" s="31">
        <f t="shared" ref="N10:N20" si="20">+N35</f>
        <v>0</v>
      </c>
      <c r="O10" s="31">
        <f t="shared" ref="O10:O20" si="21">+O35</f>
        <v>0</v>
      </c>
      <c r="P10" s="31">
        <f t="shared" ref="P10:P20" si="22">+P35</f>
        <v>0</v>
      </c>
      <c r="Q10" s="31">
        <f t="shared" ref="Q10:Q20" si="23">+Q35</f>
        <v>0</v>
      </c>
      <c r="R10" s="31">
        <f t="shared" ref="R10:R20" si="24">+R35</f>
        <v>0</v>
      </c>
      <c r="S10" s="31">
        <f t="shared" ref="S10:S20" si="25">+S35</f>
        <v>0</v>
      </c>
      <c r="T10" s="99">
        <f t="shared" si="11"/>
        <v>0</v>
      </c>
      <c r="U10" s="99">
        <f t="shared" si="12"/>
        <v>0</v>
      </c>
      <c r="V10" s="31">
        <f t="shared" si="13"/>
        <v>268357.74999999994</v>
      </c>
      <c r="W10" s="31">
        <f t="shared" ref="W10:W20" si="26">+C10+I10+O10</f>
        <v>214537.00033333327</v>
      </c>
      <c r="X10" s="31">
        <f t="shared" ref="X10:X20" si="27">+D10+J10+P10</f>
        <v>351926</v>
      </c>
      <c r="Y10" s="31">
        <f t="shared" si="14"/>
        <v>312596.76799999992</v>
      </c>
      <c r="Z10" s="31">
        <f t="shared" ref="Z10:Z20" si="28">+F10+L10+R10</f>
        <v>356065.76799999992</v>
      </c>
      <c r="AA10" s="31">
        <f t="shared" ref="AA10:AA20" si="29">+G10+M10+S10</f>
        <v>362517</v>
      </c>
    </row>
    <row r="11" spans="1:27" ht="19.5" customHeight="1">
      <c r="A11" s="99" t="s">
        <v>5</v>
      </c>
      <c r="B11" s="31">
        <v>1470149.75</v>
      </c>
      <c r="C11" s="31">
        <f t="shared" si="0"/>
        <v>1393460.0003333332</v>
      </c>
      <c r="D11" s="31">
        <f t="shared" si="15"/>
        <v>1594282</v>
      </c>
      <c r="E11" s="31">
        <v>565547.37399999995</v>
      </c>
      <c r="F11" s="31">
        <f t="shared" si="1"/>
        <v>609021.37399999995</v>
      </c>
      <c r="G11" s="31">
        <f t="shared" si="16"/>
        <v>766571</v>
      </c>
      <c r="H11" s="279">
        <f t="shared" ref="H11:J11" si="30">+H36</f>
        <v>0</v>
      </c>
      <c r="I11" s="279">
        <f t="shared" si="30"/>
        <v>0</v>
      </c>
      <c r="J11" s="513">
        <f t="shared" si="30"/>
        <v>0</v>
      </c>
      <c r="K11" s="31">
        <f t="shared" si="18"/>
        <v>267974.33899999998</v>
      </c>
      <c r="L11" s="31">
        <f t="shared" si="19"/>
        <v>267974.33899999998</v>
      </c>
      <c r="M11" s="31">
        <f t="shared" si="19"/>
        <v>309691</v>
      </c>
      <c r="N11" s="31">
        <f t="shared" si="20"/>
        <v>0</v>
      </c>
      <c r="O11" s="31">
        <f t="shared" si="21"/>
        <v>0</v>
      </c>
      <c r="P11" s="31">
        <f t="shared" si="22"/>
        <v>0</v>
      </c>
      <c r="Q11" s="31">
        <f t="shared" si="23"/>
        <v>0</v>
      </c>
      <c r="R11" s="31">
        <f t="shared" si="24"/>
        <v>0</v>
      </c>
      <c r="S11" s="31">
        <f t="shared" si="25"/>
        <v>0</v>
      </c>
      <c r="T11" s="99">
        <f t="shared" si="11"/>
        <v>0</v>
      </c>
      <c r="U11" s="99">
        <f t="shared" si="12"/>
        <v>0</v>
      </c>
      <c r="V11" s="31">
        <f t="shared" si="13"/>
        <v>1470149.75</v>
      </c>
      <c r="W11" s="31">
        <f t="shared" si="26"/>
        <v>1393460.0003333332</v>
      </c>
      <c r="X11" s="31">
        <f t="shared" si="27"/>
        <v>1594282</v>
      </c>
      <c r="Y11" s="31">
        <f t="shared" si="14"/>
        <v>833521.71299999999</v>
      </c>
      <c r="Z11" s="31">
        <f t="shared" si="28"/>
        <v>876995.71299999999</v>
      </c>
      <c r="AA11" s="31">
        <f t="shared" si="29"/>
        <v>1076262</v>
      </c>
    </row>
    <row r="12" spans="1:27" ht="19.5" customHeight="1">
      <c r="A12" s="99" t="s">
        <v>6</v>
      </c>
      <c r="B12" s="31">
        <v>307815.74999999994</v>
      </c>
      <c r="C12" s="31">
        <f t="shared" si="0"/>
        <v>293654.00033333327</v>
      </c>
      <c r="D12" s="31">
        <f t="shared" si="15"/>
        <v>146688</v>
      </c>
      <c r="E12" s="31">
        <v>400977.48499999993</v>
      </c>
      <c r="F12" s="31">
        <f t="shared" si="1"/>
        <v>444451.48499999993</v>
      </c>
      <c r="G12" s="31">
        <f t="shared" si="16"/>
        <v>496105</v>
      </c>
      <c r="H12" s="279">
        <f t="shared" ref="H12:J12" si="31">+H37</f>
        <v>0</v>
      </c>
      <c r="I12" s="279">
        <f t="shared" si="31"/>
        <v>0</v>
      </c>
      <c r="J12" s="513">
        <f t="shared" si="31"/>
        <v>0</v>
      </c>
      <c r="K12" s="31">
        <f t="shared" si="18"/>
        <v>7891.4539999999997</v>
      </c>
      <c r="L12" s="31">
        <f t="shared" si="19"/>
        <v>7891.4539999999997</v>
      </c>
      <c r="M12" s="31">
        <f t="shared" si="19"/>
        <v>104926</v>
      </c>
      <c r="N12" s="31">
        <f t="shared" si="20"/>
        <v>0</v>
      </c>
      <c r="O12" s="31">
        <f t="shared" si="21"/>
        <v>0</v>
      </c>
      <c r="P12" s="31">
        <f t="shared" si="22"/>
        <v>0</v>
      </c>
      <c r="Q12" s="31">
        <f t="shared" si="23"/>
        <v>133396.05900000001</v>
      </c>
      <c r="R12" s="31">
        <f t="shared" si="24"/>
        <v>133396.05900000001</v>
      </c>
      <c r="S12" s="31">
        <f t="shared" si="25"/>
        <v>0</v>
      </c>
      <c r="T12" s="99">
        <f t="shared" si="11"/>
        <v>0</v>
      </c>
      <c r="U12" s="99">
        <f t="shared" si="12"/>
        <v>0</v>
      </c>
      <c r="V12" s="31">
        <f t="shared" si="13"/>
        <v>307815.74999999994</v>
      </c>
      <c r="W12" s="31">
        <f t="shared" si="26"/>
        <v>293654.00033333327</v>
      </c>
      <c r="X12" s="31">
        <f t="shared" si="27"/>
        <v>146688</v>
      </c>
      <c r="Y12" s="31">
        <f t="shared" si="14"/>
        <v>542264.99799999991</v>
      </c>
      <c r="Z12" s="31">
        <f t="shared" si="28"/>
        <v>585738.99799999991</v>
      </c>
      <c r="AA12" s="31">
        <f t="shared" si="29"/>
        <v>601031</v>
      </c>
    </row>
    <row r="13" spans="1:27" ht="19.5" customHeight="1">
      <c r="A13" s="99" t="s">
        <v>7</v>
      </c>
      <c r="B13" s="31">
        <v>450926.74999999971</v>
      </c>
      <c r="C13" s="31">
        <f t="shared" si="0"/>
        <v>388383.00033333298</v>
      </c>
      <c r="D13" s="31">
        <f t="shared" si="15"/>
        <v>536881</v>
      </c>
      <c r="E13" s="31">
        <v>544142.68499999959</v>
      </c>
      <c r="F13" s="31">
        <f t="shared" si="1"/>
        <v>587611.68499999959</v>
      </c>
      <c r="G13" s="31">
        <f t="shared" si="16"/>
        <v>293080</v>
      </c>
      <c r="H13" s="279">
        <f t="shared" ref="H13:J13" si="32">+H38</f>
        <v>0</v>
      </c>
      <c r="I13" s="279">
        <f t="shared" si="32"/>
        <v>0</v>
      </c>
      <c r="J13" s="513">
        <f t="shared" si="32"/>
        <v>0</v>
      </c>
      <c r="K13" s="31">
        <f t="shared" si="18"/>
        <v>4322.0829999999996</v>
      </c>
      <c r="L13" s="31">
        <f t="shared" si="19"/>
        <v>4322.0829999999996</v>
      </c>
      <c r="M13" s="31">
        <f t="shared" si="19"/>
        <v>4995</v>
      </c>
      <c r="N13" s="31">
        <f t="shared" si="20"/>
        <v>0</v>
      </c>
      <c r="O13" s="31">
        <f t="shared" si="21"/>
        <v>0</v>
      </c>
      <c r="P13" s="31">
        <f t="shared" si="22"/>
        <v>0</v>
      </c>
      <c r="Q13" s="31">
        <f t="shared" si="23"/>
        <v>0</v>
      </c>
      <c r="R13" s="31">
        <f t="shared" si="24"/>
        <v>0</v>
      </c>
      <c r="S13" s="31">
        <f t="shared" si="25"/>
        <v>140199</v>
      </c>
      <c r="T13" s="99">
        <f t="shared" si="11"/>
        <v>0</v>
      </c>
      <c r="U13" s="99">
        <f t="shared" si="12"/>
        <v>0</v>
      </c>
      <c r="V13" s="31">
        <f t="shared" si="13"/>
        <v>450926.74999999971</v>
      </c>
      <c r="W13" s="31">
        <f t="shared" si="26"/>
        <v>388383.00033333298</v>
      </c>
      <c r="X13" s="31">
        <f t="shared" si="27"/>
        <v>536881</v>
      </c>
      <c r="Y13" s="31">
        <f t="shared" si="14"/>
        <v>548464.76799999957</v>
      </c>
      <c r="Z13" s="31">
        <f t="shared" si="28"/>
        <v>591933.76799999957</v>
      </c>
      <c r="AA13" s="31">
        <f t="shared" si="29"/>
        <v>438274</v>
      </c>
    </row>
    <row r="14" spans="1:27" ht="19.5" customHeight="1">
      <c r="A14" s="99" t="s">
        <v>8</v>
      </c>
      <c r="B14" s="31">
        <v>257497.74999999994</v>
      </c>
      <c r="C14" s="31">
        <f t="shared" si="0"/>
        <v>192173.00033333327</v>
      </c>
      <c r="D14" s="31">
        <f t="shared" si="15"/>
        <v>591839</v>
      </c>
      <c r="E14" s="31">
        <v>400044.13799999998</v>
      </c>
      <c r="F14" s="31">
        <f t="shared" si="1"/>
        <v>442835.13799999998</v>
      </c>
      <c r="G14" s="31">
        <f t="shared" si="16"/>
        <v>376666</v>
      </c>
      <c r="H14" s="279">
        <f t="shared" ref="H14:J14" si="33">+H39</f>
        <v>0</v>
      </c>
      <c r="I14" s="279">
        <f t="shared" si="33"/>
        <v>0</v>
      </c>
      <c r="J14" s="513">
        <f t="shared" si="33"/>
        <v>0</v>
      </c>
      <c r="K14" s="31">
        <f t="shared" si="18"/>
        <v>104322.083</v>
      </c>
      <c r="L14" s="31">
        <f t="shared" si="19"/>
        <v>202501.08299999998</v>
      </c>
      <c r="M14" s="31">
        <f t="shared" si="19"/>
        <v>281678</v>
      </c>
      <c r="N14" s="31">
        <f t="shared" si="20"/>
        <v>0</v>
      </c>
      <c r="O14" s="31">
        <f t="shared" si="21"/>
        <v>0</v>
      </c>
      <c r="P14" s="31">
        <f t="shared" si="22"/>
        <v>0</v>
      </c>
      <c r="Q14" s="31">
        <f t="shared" si="23"/>
        <v>0</v>
      </c>
      <c r="R14" s="31">
        <f t="shared" si="24"/>
        <v>-79908</v>
      </c>
      <c r="S14" s="31">
        <f t="shared" si="25"/>
        <v>0</v>
      </c>
      <c r="T14" s="99">
        <f t="shared" si="11"/>
        <v>0</v>
      </c>
      <c r="U14" s="99">
        <f t="shared" si="12"/>
        <v>0</v>
      </c>
      <c r="V14" s="31">
        <f t="shared" si="13"/>
        <v>257497.74999999994</v>
      </c>
      <c r="W14" s="31">
        <f t="shared" si="26"/>
        <v>192173.00033333327</v>
      </c>
      <c r="X14" s="31">
        <f t="shared" si="27"/>
        <v>591839</v>
      </c>
      <c r="Y14" s="31">
        <f t="shared" si="14"/>
        <v>504366.22099999996</v>
      </c>
      <c r="Z14" s="31">
        <f t="shared" si="28"/>
        <v>565428.2209999999</v>
      </c>
      <c r="AA14" s="31">
        <f t="shared" si="29"/>
        <v>658344</v>
      </c>
    </row>
    <row r="15" spans="1:27" ht="19.5" customHeight="1">
      <c r="A15" s="99" t="s">
        <v>9</v>
      </c>
      <c r="B15" s="31">
        <v>299276.74999999994</v>
      </c>
      <c r="C15" s="31">
        <f t="shared" ref="C15:C20" si="34">+C40+D87+F138-C138-1653</f>
        <v>445270.50033333321</v>
      </c>
      <c r="D15" s="31">
        <f t="shared" ref="D10:D20" si="35">+D40+Q87+G138+D138</f>
        <v>0</v>
      </c>
      <c r="E15" s="31">
        <v>371543.41</v>
      </c>
      <c r="F15" s="31">
        <f t="shared" ref="F15:F20" si="36">+F40+G87+I138-C138-1653</f>
        <v>503355.74333333311</v>
      </c>
      <c r="G15" s="31">
        <f t="shared" ref="G10:G20" si="37">+G40+T87+J138</f>
        <v>0</v>
      </c>
      <c r="H15" s="279">
        <f t="shared" ref="H15:J15" si="38">+H40</f>
        <v>0</v>
      </c>
      <c r="I15" s="279">
        <f t="shared" si="38"/>
        <v>0</v>
      </c>
      <c r="J15" s="513">
        <f t="shared" si="38"/>
        <v>0</v>
      </c>
      <c r="K15" s="31">
        <f t="shared" si="18"/>
        <v>7891.4539999999997</v>
      </c>
      <c r="L15" s="31">
        <f t="shared" si="19"/>
        <v>6435.4539999999997</v>
      </c>
      <c r="M15" s="31">
        <f t="shared" si="19"/>
        <v>0</v>
      </c>
      <c r="N15" s="31">
        <f t="shared" si="20"/>
        <v>0</v>
      </c>
      <c r="O15" s="31">
        <f t="shared" si="21"/>
        <v>0</v>
      </c>
      <c r="P15" s="31">
        <f t="shared" si="22"/>
        <v>0</v>
      </c>
      <c r="Q15" s="31">
        <f t="shared" si="23"/>
        <v>59785.245000000003</v>
      </c>
      <c r="R15" s="31">
        <f t="shared" si="24"/>
        <v>59785.245000000003</v>
      </c>
      <c r="S15" s="31">
        <f t="shared" si="25"/>
        <v>0</v>
      </c>
      <c r="T15" s="99">
        <f t="shared" si="11"/>
        <v>0</v>
      </c>
      <c r="U15" s="99">
        <f t="shared" si="12"/>
        <v>0</v>
      </c>
      <c r="V15" s="31">
        <f t="shared" si="13"/>
        <v>299276.74999999994</v>
      </c>
      <c r="W15" s="31">
        <f t="shared" si="26"/>
        <v>445270.50033333321</v>
      </c>
      <c r="X15" s="31">
        <f t="shared" si="27"/>
        <v>0</v>
      </c>
      <c r="Y15" s="31">
        <f t="shared" si="14"/>
        <v>439220.109</v>
      </c>
      <c r="Z15" s="31">
        <f t="shared" si="28"/>
        <v>569576.44233333319</v>
      </c>
      <c r="AA15" s="31">
        <f t="shared" si="29"/>
        <v>0</v>
      </c>
    </row>
    <row r="16" spans="1:27" ht="19.5" customHeight="1">
      <c r="A16" s="99" t="s">
        <v>10</v>
      </c>
      <c r="B16" s="31">
        <v>256626.74999999994</v>
      </c>
      <c r="C16" s="31">
        <f t="shared" si="34"/>
        <v>247479.50033333327</v>
      </c>
      <c r="D16" s="31">
        <f t="shared" si="35"/>
        <v>0</v>
      </c>
      <c r="E16" s="31">
        <v>354030.68499999994</v>
      </c>
      <c r="F16" s="31">
        <f t="shared" si="36"/>
        <v>504952.01833333314</v>
      </c>
      <c r="G16" s="31">
        <f t="shared" si="37"/>
        <v>0</v>
      </c>
      <c r="H16" s="279">
        <f t="shared" ref="H16:J16" si="39">+H41</f>
        <v>0</v>
      </c>
      <c r="I16" s="279">
        <f t="shared" si="39"/>
        <v>0</v>
      </c>
      <c r="J16" s="513">
        <f t="shared" si="39"/>
        <v>0</v>
      </c>
      <c r="K16" s="31">
        <f t="shared" si="18"/>
        <v>4322.0829999999996</v>
      </c>
      <c r="L16" s="31">
        <f t="shared" si="19"/>
        <v>4322.0829999999996</v>
      </c>
      <c r="M16" s="31">
        <f t="shared" si="19"/>
        <v>0</v>
      </c>
      <c r="N16" s="31">
        <f t="shared" si="20"/>
        <v>0</v>
      </c>
      <c r="O16" s="31">
        <f t="shared" si="21"/>
        <v>0</v>
      </c>
      <c r="P16" s="31">
        <f t="shared" si="22"/>
        <v>0</v>
      </c>
      <c r="Q16" s="31">
        <f t="shared" si="23"/>
        <v>0</v>
      </c>
      <c r="R16" s="31">
        <f t="shared" si="24"/>
        <v>0</v>
      </c>
      <c r="S16" s="31">
        <f t="shared" si="25"/>
        <v>0</v>
      </c>
      <c r="T16" s="99">
        <f t="shared" si="11"/>
        <v>0</v>
      </c>
      <c r="U16" s="99">
        <f t="shared" si="12"/>
        <v>0</v>
      </c>
      <c r="V16" s="31">
        <f t="shared" si="13"/>
        <v>256626.74999999994</v>
      </c>
      <c r="W16" s="31">
        <f t="shared" si="26"/>
        <v>247479.50033333327</v>
      </c>
      <c r="X16" s="31">
        <f t="shared" si="27"/>
        <v>0</v>
      </c>
      <c r="Y16" s="31">
        <f t="shared" si="14"/>
        <v>358352.76799999992</v>
      </c>
      <c r="Z16" s="31">
        <f t="shared" si="28"/>
        <v>509274.10133333312</v>
      </c>
      <c r="AA16" s="31">
        <f t="shared" si="29"/>
        <v>0</v>
      </c>
    </row>
    <row r="17" spans="1:27" ht="19.5" customHeight="1">
      <c r="A17" s="99" t="s">
        <v>11</v>
      </c>
      <c r="B17" s="31">
        <v>1470799.75</v>
      </c>
      <c r="C17" s="31">
        <f t="shared" si="34"/>
        <v>1456031.5003333332</v>
      </c>
      <c r="D17" s="31">
        <f t="shared" si="35"/>
        <v>0</v>
      </c>
      <c r="E17" s="31">
        <v>668904.09299999999</v>
      </c>
      <c r="F17" s="31">
        <f t="shared" si="36"/>
        <v>819881.42633333313</v>
      </c>
      <c r="G17" s="31">
        <f t="shared" si="37"/>
        <v>0</v>
      </c>
      <c r="H17" s="279">
        <f t="shared" ref="H17:J17" si="40">+H42</f>
        <v>782679</v>
      </c>
      <c r="I17" s="279">
        <f t="shared" si="40"/>
        <v>782679</v>
      </c>
      <c r="J17" s="513">
        <f t="shared" si="40"/>
        <v>0</v>
      </c>
      <c r="K17" s="31">
        <f t="shared" si="18"/>
        <v>654322.08299999998</v>
      </c>
      <c r="L17" s="31">
        <f t="shared" si="19"/>
        <v>454322.08299999998</v>
      </c>
      <c r="M17" s="31">
        <f t="shared" si="19"/>
        <v>0</v>
      </c>
      <c r="N17" s="31">
        <f t="shared" si="20"/>
        <v>0</v>
      </c>
      <c r="O17" s="31">
        <f t="shared" si="21"/>
        <v>0</v>
      </c>
      <c r="P17" s="31">
        <f t="shared" si="22"/>
        <v>0</v>
      </c>
      <c r="Q17" s="31">
        <f t="shared" si="23"/>
        <v>0</v>
      </c>
      <c r="R17" s="31">
        <f t="shared" si="24"/>
        <v>0</v>
      </c>
      <c r="S17" s="31">
        <f t="shared" si="25"/>
        <v>0</v>
      </c>
      <c r="T17" s="99">
        <f t="shared" si="11"/>
        <v>0</v>
      </c>
      <c r="U17" s="99">
        <f t="shared" si="12"/>
        <v>0</v>
      </c>
      <c r="V17" s="31">
        <f t="shared" si="13"/>
        <v>2253478.75</v>
      </c>
      <c r="W17" s="31">
        <f t="shared" si="26"/>
        <v>2238710.5003333334</v>
      </c>
      <c r="X17" s="31">
        <f t="shared" si="27"/>
        <v>0</v>
      </c>
      <c r="Y17" s="31">
        <f t="shared" si="14"/>
        <v>1323226.176</v>
      </c>
      <c r="Z17" s="31">
        <f t="shared" si="28"/>
        <v>1274203.509333333</v>
      </c>
      <c r="AA17" s="31">
        <f t="shared" si="29"/>
        <v>0</v>
      </c>
    </row>
    <row r="18" spans="1:27" ht="19.5" customHeight="1">
      <c r="A18" s="99" t="s">
        <v>12</v>
      </c>
      <c r="B18" s="31">
        <v>308110.74999999994</v>
      </c>
      <c r="C18" s="31">
        <f t="shared" si="34"/>
        <v>264921.50033333327</v>
      </c>
      <c r="D18" s="31">
        <f t="shared" si="35"/>
        <v>0</v>
      </c>
      <c r="E18" s="31">
        <v>380778.60399999993</v>
      </c>
      <c r="F18" s="31">
        <f t="shared" si="36"/>
        <v>488291.93733333313</v>
      </c>
      <c r="G18" s="31">
        <f t="shared" si="37"/>
        <v>0</v>
      </c>
      <c r="H18" s="279">
        <f t="shared" ref="H18:J18" si="41">+H43</f>
        <v>0</v>
      </c>
      <c r="I18" s="279">
        <f t="shared" si="41"/>
        <v>0</v>
      </c>
      <c r="J18" s="513">
        <f t="shared" si="41"/>
        <v>0</v>
      </c>
      <c r="K18" s="31">
        <f t="shared" si="18"/>
        <v>7891.4539999999997</v>
      </c>
      <c r="L18" s="31">
        <f t="shared" si="19"/>
        <v>6435.4539999999997</v>
      </c>
      <c r="M18" s="31">
        <f t="shared" si="19"/>
        <v>0</v>
      </c>
      <c r="N18" s="31">
        <f t="shared" si="20"/>
        <v>0</v>
      </c>
      <c r="O18" s="31">
        <f t="shared" si="21"/>
        <v>0</v>
      </c>
      <c r="P18" s="31">
        <f t="shared" si="22"/>
        <v>0</v>
      </c>
      <c r="Q18" s="31">
        <f t="shared" si="23"/>
        <v>133396.05900000001</v>
      </c>
      <c r="R18" s="31">
        <f t="shared" si="24"/>
        <v>133396.05900000001</v>
      </c>
      <c r="S18" s="31">
        <f t="shared" si="25"/>
        <v>0</v>
      </c>
      <c r="T18" s="99">
        <f t="shared" si="11"/>
        <v>0</v>
      </c>
      <c r="U18" s="99">
        <f t="shared" si="12"/>
        <v>0</v>
      </c>
      <c r="V18" s="31">
        <f t="shared" si="13"/>
        <v>308110.74999999994</v>
      </c>
      <c r="W18" s="31">
        <f t="shared" si="26"/>
        <v>264921.50033333327</v>
      </c>
      <c r="X18" s="31">
        <f t="shared" si="27"/>
        <v>0</v>
      </c>
      <c r="Y18" s="31">
        <f t="shared" si="14"/>
        <v>522066.11699999997</v>
      </c>
      <c r="Z18" s="31">
        <f t="shared" si="28"/>
        <v>628123.45033333311</v>
      </c>
      <c r="AA18" s="31">
        <f t="shared" si="29"/>
        <v>0</v>
      </c>
    </row>
    <row r="19" spans="1:27" ht="19.5" customHeight="1">
      <c r="A19" s="99" t="s">
        <v>13</v>
      </c>
      <c r="B19" s="31">
        <v>259728.74999999994</v>
      </c>
      <c r="C19" s="31">
        <f t="shared" si="34"/>
        <v>254332.50033333327</v>
      </c>
      <c r="D19" s="31">
        <f t="shared" si="35"/>
        <v>0</v>
      </c>
      <c r="E19" s="31">
        <v>353693.68499999994</v>
      </c>
      <c r="F19" s="31">
        <f t="shared" si="36"/>
        <v>503671.01833333314</v>
      </c>
      <c r="G19" s="31">
        <f t="shared" si="37"/>
        <v>0</v>
      </c>
      <c r="H19" s="279">
        <f t="shared" ref="H19:J19" si="42">+H44</f>
        <v>0</v>
      </c>
      <c r="I19" s="279">
        <f t="shared" si="42"/>
        <v>0</v>
      </c>
      <c r="J19" s="513">
        <f t="shared" si="42"/>
        <v>0</v>
      </c>
      <c r="K19" s="31">
        <f t="shared" si="18"/>
        <v>4322.0829999999996</v>
      </c>
      <c r="L19" s="31">
        <f t="shared" si="19"/>
        <v>4322.0829999999996</v>
      </c>
      <c r="M19" s="31">
        <f t="shared" si="19"/>
        <v>0</v>
      </c>
      <c r="N19" s="31">
        <f t="shared" si="20"/>
        <v>0</v>
      </c>
      <c r="O19" s="31">
        <f t="shared" si="21"/>
        <v>0</v>
      </c>
      <c r="P19" s="31">
        <f t="shared" si="22"/>
        <v>0</v>
      </c>
      <c r="Q19" s="31">
        <f t="shared" si="23"/>
        <v>0</v>
      </c>
      <c r="R19" s="31">
        <f t="shared" si="24"/>
        <v>0</v>
      </c>
      <c r="S19" s="31">
        <f t="shared" si="25"/>
        <v>0</v>
      </c>
      <c r="T19" s="99">
        <f t="shared" si="11"/>
        <v>0</v>
      </c>
      <c r="U19" s="99">
        <f t="shared" si="12"/>
        <v>0</v>
      </c>
      <c r="V19" s="31">
        <f t="shared" si="13"/>
        <v>259728.74999999994</v>
      </c>
      <c r="W19" s="31">
        <f t="shared" si="26"/>
        <v>254332.50033333327</v>
      </c>
      <c r="X19" s="31">
        <f t="shared" si="27"/>
        <v>0</v>
      </c>
      <c r="Y19" s="31">
        <f t="shared" si="14"/>
        <v>358015.76799999992</v>
      </c>
      <c r="Z19" s="31">
        <f t="shared" si="28"/>
        <v>507993.10133333312</v>
      </c>
      <c r="AA19" s="31">
        <f t="shared" si="29"/>
        <v>0</v>
      </c>
    </row>
    <row r="20" spans="1:27" ht="19.5" customHeight="1">
      <c r="A20" s="99" t="s">
        <v>14</v>
      </c>
      <c r="B20" s="31">
        <v>258429.74999999994</v>
      </c>
      <c r="C20" s="31">
        <f t="shared" si="34"/>
        <v>247209.50033333327</v>
      </c>
      <c r="D20" s="31">
        <f t="shared" si="35"/>
        <v>0</v>
      </c>
      <c r="E20" s="31">
        <v>394865.06699999998</v>
      </c>
      <c r="F20" s="31">
        <f t="shared" si="36"/>
        <v>545841.40033333306</v>
      </c>
      <c r="G20" s="31">
        <f t="shared" si="37"/>
        <v>0</v>
      </c>
      <c r="H20" s="279">
        <f t="shared" ref="H20:J20" si="43">+H45</f>
        <v>0</v>
      </c>
      <c r="I20" s="279">
        <f t="shared" si="43"/>
        <v>0</v>
      </c>
      <c r="J20" s="513">
        <f t="shared" si="43"/>
        <v>0</v>
      </c>
      <c r="K20" s="31">
        <f t="shared" si="18"/>
        <v>4322.0829999999996</v>
      </c>
      <c r="L20" s="31">
        <f t="shared" si="19"/>
        <v>4322.0829999999996</v>
      </c>
      <c r="M20" s="31">
        <f t="shared" si="19"/>
        <v>0</v>
      </c>
      <c r="N20" s="31">
        <f t="shared" si="20"/>
        <v>0</v>
      </c>
      <c r="O20" s="31">
        <f t="shared" si="21"/>
        <v>0</v>
      </c>
      <c r="P20" s="31">
        <f t="shared" si="22"/>
        <v>0</v>
      </c>
      <c r="Q20" s="31">
        <f t="shared" si="23"/>
        <v>0</v>
      </c>
      <c r="R20" s="31">
        <f t="shared" si="24"/>
        <v>0</v>
      </c>
      <c r="S20" s="31">
        <f t="shared" si="25"/>
        <v>0</v>
      </c>
      <c r="T20" s="99">
        <f t="shared" si="11"/>
        <v>0</v>
      </c>
      <c r="U20" s="99">
        <f t="shared" si="12"/>
        <v>0</v>
      </c>
      <c r="V20" s="31">
        <f t="shared" si="13"/>
        <v>258429.74999999994</v>
      </c>
      <c r="W20" s="31">
        <f t="shared" si="26"/>
        <v>247209.50033333327</v>
      </c>
      <c r="X20" s="31">
        <f t="shared" si="27"/>
        <v>0</v>
      </c>
      <c r="Y20" s="31">
        <f t="shared" si="14"/>
        <v>399187.14999999997</v>
      </c>
      <c r="Z20" s="31">
        <f t="shared" si="28"/>
        <v>550163.48333333305</v>
      </c>
      <c r="AA20" s="31">
        <f t="shared" si="29"/>
        <v>0</v>
      </c>
    </row>
    <row r="21" spans="1:27" ht="19.5" customHeight="1">
      <c r="A21" s="8" t="s">
        <v>15</v>
      </c>
      <c r="B21" s="68">
        <f t="shared" ref="B21:M21" si="44">SUM(B9:B20)</f>
        <v>5904336</v>
      </c>
      <c r="C21" s="68">
        <f t="shared" si="44"/>
        <v>5676332.0039999997</v>
      </c>
      <c r="D21" s="68">
        <f t="shared" si="44"/>
        <v>3567769</v>
      </c>
      <c r="E21" s="68">
        <f t="shared" si="44"/>
        <v>5069783.1909999987</v>
      </c>
      <c r="F21" s="68">
        <f t="shared" si="44"/>
        <v>6171612.1909999978</v>
      </c>
      <c r="G21" s="68">
        <f t="shared" si="44"/>
        <v>2315900</v>
      </c>
      <c r="H21" s="68">
        <f t="shared" si="44"/>
        <v>782679</v>
      </c>
      <c r="I21" s="68">
        <f t="shared" si="44"/>
        <v>782679</v>
      </c>
      <c r="J21" s="68">
        <f t="shared" si="44"/>
        <v>0</v>
      </c>
      <c r="K21" s="68">
        <f t="shared" si="44"/>
        <v>1230869.2010000001</v>
      </c>
      <c r="L21" s="68">
        <f t="shared" si="44"/>
        <v>1126136.2010000001</v>
      </c>
      <c r="M21" s="68">
        <f t="shared" si="44"/>
        <v>1024266</v>
      </c>
      <c r="N21" s="68">
        <f t="shared" ref="N21:W21" si="45">SUM(N9:N20)</f>
        <v>0</v>
      </c>
      <c r="O21" s="68">
        <f t="shared" si="45"/>
        <v>0</v>
      </c>
      <c r="P21" s="68">
        <f t="shared" si="45"/>
        <v>0</v>
      </c>
      <c r="Q21" s="68">
        <f t="shared" si="45"/>
        <v>386362.60800000001</v>
      </c>
      <c r="R21" s="68">
        <f t="shared" si="45"/>
        <v>306454.60800000001</v>
      </c>
      <c r="S21" s="68">
        <f t="shared" si="45"/>
        <v>200678</v>
      </c>
      <c r="T21" s="68">
        <f t="shared" si="45"/>
        <v>0</v>
      </c>
      <c r="U21" s="68">
        <f t="shared" si="45"/>
        <v>0</v>
      </c>
      <c r="V21" s="31">
        <f t="shared" si="45"/>
        <v>6687015</v>
      </c>
      <c r="W21" s="31">
        <f t="shared" si="45"/>
        <v>6459011.0039999997</v>
      </c>
      <c r="X21" s="31">
        <f>SUM(X9:X20)</f>
        <v>3567769</v>
      </c>
      <c r="Y21" s="31">
        <f t="shared" ref="Y21:AA21" si="46">SUM(Y9:Y20)</f>
        <v>6687014.9999999991</v>
      </c>
      <c r="Z21" s="31">
        <f t="shared" si="46"/>
        <v>7604202.9999999972</v>
      </c>
      <c r="AA21" s="31">
        <f t="shared" si="46"/>
        <v>3540844</v>
      </c>
    </row>
    <row r="23" spans="1:27">
      <c r="X23" s="62"/>
    </row>
    <row r="24" spans="1:27">
      <c r="X24" s="62"/>
    </row>
    <row r="25" spans="1:27">
      <c r="J25" s="66"/>
    </row>
    <row r="26" spans="1:27" ht="13.8">
      <c r="A26" s="65" t="s">
        <v>214</v>
      </c>
      <c r="X26" s="66"/>
      <c r="Z26" s="2" t="s">
        <v>377</v>
      </c>
    </row>
    <row r="27" spans="1:27">
      <c r="A27" s="65"/>
    </row>
    <row r="29" spans="1:27">
      <c r="A29" s="727" t="s">
        <v>143</v>
      </c>
      <c r="B29" s="727"/>
      <c r="C29" s="727"/>
      <c r="D29" s="727"/>
      <c r="E29" s="727"/>
      <c r="F29" s="727"/>
      <c r="G29" s="727"/>
      <c r="H29" s="727"/>
      <c r="I29" s="727"/>
      <c r="J29" s="701"/>
      <c r="K29" s="701"/>
      <c r="L29" s="701"/>
      <c r="M29" s="701"/>
      <c r="N29" s="701"/>
      <c r="O29" s="701"/>
      <c r="P29" s="701"/>
      <c r="Q29" s="701"/>
      <c r="R29" s="701"/>
      <c r="S29" s="701"/>
      <c r="T29" s="701"/>
      <c r="U29" s="701"/>
      <c r="V29" s="701"/>
      <c r="W29" s="701"/>
      <c r="X29" s="701"/>
      <c r="Y29" s="701"/>
      <c r="Z29" s="701"/>
      <c r="AA29" s="701"/>
    </row>
    <row r="30" spans="1:27">
      <c r="M30" s="508">
        <v>41455</v>
      </c>
    </row>
    <row r="31" spans="1:27">
      <c r="AA31" s="3" t="s">
        <v>0</v>
      </c>
    </row>
    <row r="32" spans="1:27" ht="19.5" customHeight="1">
      <c r="A32" s="950" t="s">
        <v>2</v>
      </c>
      <c r="B32" s="942" t="s">
        <v>545</v>
      </c>
      <c r="C32" s="943"/>
      <c r="D32" s="889"/>
      <c r="E32" s="942" t="s">
        <v>546</v>
      </c>
      <c r="F32" s="943"/>
      <c r="G32" s="889"/>
      <c r="H32" s="942" t="s">
        <v>558</v>
      </c>
      <c r="I32" s="943"/>
      <c r="J32" s="889"/>
      <c r="K32" s="942" t="s">
        <v>559</v>
      </c>
      <c r="L32" s="943"/>
      <c r="M32" s="889"/>
      <c r="N32" s="942" t="s">
        <v>560</v>
      </c>
      <c r="O32" s="943"/>
      <c r="P32" s="889"/>
      <c r="Q32" s="942" t="s">
        <v>561</v>
      </c>
      <c r="R32" s="943"/>
      <c r="S32" s="889"/>
      <c r="T32" s="769" t="s">
        <v>19</v>
      </c>
      <c r="U32" s="769"/>
      <c r="V32" s="942" t="s">
        <v>547</v>
      </c>
      <c r="W32" s="943"/>
      <c r="X32" s="889"/>
      <c r="Y32" s="942" t="s">
        <v>548</v>
      </c>
      <c r="Z32" s="943"/>
      <c r="AA32" s="889"/>
    </row>
    <row r="33" spans="1:27" s="21" customFormat="1" ht="45.6" customHeight="1">
      <c r="A33" s="950"/>
      <c r="B33" s="502" t="s">
        <v>523</v>
      </c>
      <c r="C33" s="502" t="s">
        <v>525</v>
      </c>
      <c r="D33" s="502" t="s">
        <v>743</v>
      </c>
      <c r="E33" s="502" t="s">
        <v>523</v>
      </c>
      <c r="F33" s="502" t="s">
        <v>525</v>
      </c>
      <c r="G33" s="502" t="s">
        <v>743</v>
      </c>
      <c r="H33" s="502" t="s">
        <v>523</v>
      </c>
      <c r="I33" s="502" t="s">
        <v>525</v>
      </c>
      <c r="J33" s="502" t="s">
        <v>743</v>
      </c>
      <c r="K33" s="502" t="s">
        <v>523</v>
      </c>
      <c r="L33" s="502" t="s">
        <v>525</v>
      </c>
      <c r="M33" s="502" t="s">
        <v>743</v>
      </c>
      <c r="N33" s="502" t="s">
        <v>523</v>
      </c>
      <c r="O33" s="502" t="s">
        <v>525</v>
      </c>
      <c r="P33" s="502" t="s">
        <v>743</v>
      </c>
      <c r="Q33" s="502" t="s">
        <v>523</v>
      </c>
      <c r="R33" s="502" t="s">
        <v>525</v>
      </c>
      <c r="S33" s="502" t="s">
        <v>743</v>
      </c>
      <c r="T33" s="509" t="s">
        <v>20</v>
      </c>
      <c r="U33" s="509" t="s">
        <v>21</v>
      </c>
      <c r="V33" s="502" t="s">
        <v>523</v>
      </c>
      <c r="W33" s="502" t="s">
        <v>525</v>
      </c>
      <c r="X33" s="502" t="s">
        <v>743</v>
      </c>
      <c r="Y33" s="502" t="s">
        <v>523</v>
      </c>
      <c r="Z33" s="502" t="s">
        <v>525</v>
      </c>
      <c r="AA33" s="502" t="s">
        <v>743</v>
      </c>
    </row>
    <row r="34" spans="1:27" ht="19.5" customHeight="1">
      <c r="A34" s="28" t="s">
        <v>3</v>
      </c>
      <c r="B34" s="31">
        <v>189041.33333333331</v>
      </c>
      <c r="C34" s="31">
        <v>189041.33333333331</v>
      </c>
      <c r="D34" s="31">
        <f>266364-19384</f>
        <v>246980</v>
      </c>
      <c r="E34" s="31">
        <v>219406.86333333331</v>
      </c>
      <c r="F34" s="31">
        <v>219406.86333333331</v>
      </c>
      <c r="G34" s="31">
        <f>292453-M34-S34</f>
        <v>-27478</v>
      </c>
      <c r="H34" s="28"/>
      <c r="I34" s="255"/>
      <c r="J34" s="255"/>
      <c r="K34" s="31">
        <v>158965.91900000002</v>
      </c>
      <c r="L34" s="31">
        <v>158965.91900000002</v>
      </c>
      <c r="M34" s="31">
        <f>4808+154644+100000</f>
        <v>259452</v>
      </c>
      <c r="N34" s="28"/>
      <c r="O34" s="255"/>
      <c r="P34" s="255"/>
      <c r="Q34" s="31">
        <v>59785.245000000003</v>
      </c>
      <c r="R34" s="31">
        <v>59785.245000000003</v>
      </c>
      <c r="S34" s="31">
        <v>60479</v>
      </c>
      <c r="T34" s="28"/>
      <c r="U34" s="28"/>
      <c r="V34" s="31">
        <f t="shared" ref="V34:V45" si="47">+B34+H34+N34+T34</f>
        <v>189041.33333333331</v>
      </c>
      <c r="W34" s="31">
        <f>+C34+I34+O34</f>
        <v>189041.33333333331</v>
      </c>
      <c r="X34" s="31">
        <f>+D34+J34+P34</f>
        <v>246980</v>
      </c>
      <c r="Y34" s="31">
        <f t="shared" ref="Y34:Y45" si="48">+E34+K34+Q34+U34</f>
        <v>438158.02733333333</v>
      </c>
      <c r="Z34" s="31">
        <f>+F34+L34+R34</f>
        <v>438158.02733333333</v>
      </c>
      <c r="AA34" s="31">
        <f>+G34+M34+S34</f>
        <v>292453</v>
      </c>
    </row>
    <row r="35" spans="1:27" ht="19.5" customHeight="1">
      <c r="A35" s="28" t="s">
        <v>4</v>
      </c>
      <c r="B35" s="31">
        <v>189041.33333333331</v>
      </c>
      <c r="C35" s="31">
        <v>189041.33333333331</v>
      </c>
      <c r="D35" s="31">
        <v>298357</v>
      </c>
      <c r="E35" s="31">
        <v>228958.26833333331</v>
      </c>
      <c r="F35" s="31">
        <v>228958.26833333331</v>
      </c>
      <c r="G35" s="31">
        <f>309483-M35</f>
        <v>245959</v>
      </c>
      <c r="H35" s="28"/>
      <c r="I35" s="255"/>
      <c r="J35" s="255"/>
      <c r="K35" s="31">
        <v>4322.0829999999996</v>
      </c>
      <c r="L35" s="31">
        <v>4322.0829999999996</v>
      </c>
      <c r="M35" s="31">
        <f>4872+8652+50000</f>
        <v>63524</v>
      </c>
      <c r="N35" s="28"/>
      <c r="O35" s="255"/>
      <c r="P35" s="255"/>
      <c r="Q35" s="28"/>
      <c r="R35" s="255">
        <v>0</v>
      </c>
      <c r="S35" s="31"/>
      <c r="T35" s="28"/>
      <c r="U35" s="28"/>
      <c r="V35" s="31">
        <f t="shared" si="47"/>
        <v>189041.33333333331</v>
      </c>
      <c r="W35" s="31">
        <f t="shared" ref="W35:W45" si="49">+C35+I35+O35</f>
        <v>189041.33333333331</v>
      </c>
      <c r="X35" s="31">
        <f t="shared" ref="X35:X45" si="50">+D35+J35+P35</f>
        <v>298357</v>
      </c>
      <c r="Y35" s="31">
        <f t="shared" si="48"/>
        <v>233280.35133333332</v>
      </c>
      <c r="Z35" s="31">
        <f t="shared" ref="Z35:Z45" si="51">+F35+L35+R35</f>
        <v>233280.35133333332</v>
      </c>
      <c r="AA35" s="31">
        <f t="shared" ref="AA35:AA45" si="52">+G35+M35+S35</f>
        <v>309483</v>
      </c>
    </row>
    <row r="36" spans="1:27" ht="19.5" customHeight="1">
      <c r="A36" s="28" t="s">
        <v>5</v>
      </c>
      <c r="B36" s="31">
        <v>1401697.3333333333</v>
      </c>
      <c r="C36" s="31">
        <v>1401697.3333333333</v>
      </c>
      <c r="D36" s="31">
        <v>1514285</v>
      </c>
      <c r="E36" s="31">
        <v>497094.95733333332</v>
      </c>
      <c r="F36" s="31">
        <v>497094.95733333332</v>
      </c>
      <c r="G36" s="31">
        <f>998823-M36</f>
        <v>689132</v>
      </c>
      <c r="H36" s="28"/>
      <c r="I36" s="255"/>
      <c r="J36" s="255"/>
      <c r="K36" s="31">
        <v>267974.33899999998</v>
      </c>
      <c r="L36" s="31">
        <v>267974.33899999998</v>
      </c>
      <c r="M36" s="31">
        <f>4931+255000+49760</f>
        <v>309691</v>
      </c>
      <c r="N36" s="28"/>
      <c r="O36" s="255"/>
      <c r="P36" s="255"/>
      <c r="Q36" s="28"/>
      <c r="R36" s="255">
        <v>0</v>
      </c>
      <c r="S36" s="31"/>
      <c r="T36" s="28"/>
      <c r="U36" s="28"/>
      <c r="V36" s="31">
        <f t="shared" si="47"/>
        <v>1401697.3333333333</v>
      </c>
      <c r="W36" s="31">
        <f t="shared" si="49"/>
        <v>1401697.3333333333</v>
      </c>
      <c r="X36" s="31">
        <f t="shared" si="50"/>
        <v>1514285</v>
      </c>
      <c r="Y36" s="31">
        <f t="shared" si="48"/>
        <v>765069.29633333324</v>
      </c>
      <c r="Z36" s="31">
        <f t="shared" si="51"/>
        <v>765069.29633333324</v>
      </c>
      <c r="AA36" s="31">
        <f t="shared" si="52"/>
        <v>998823</v>
      </c>
    </row>
    <row r="37" spans="1:27" ht="19.5" customHeight="1">
      <c r="A37" s="28" t="s">
        <v>6</v>
      </c>
      <c r="B37" s="31">
        <v>189041.33333333331</v>
      </c>
      <c r="C37" s="31">
        <v>189041.33333333331</v>
      </c>
      <c r="D37" s="31">
        <v>55361</v>
      </c>
      <c r="E37" s="31">
        <v>282203.0683333333</v>
      </c>
      <c r="F37" s="31">
        <v>282203.0683333333</v>
      </c>
      <c r="G37" s="31">
        <f>511257-M37</f>
        <v>406331</v>
      </c>
      <c r="H37" s="28"/>
      <c r="I37" s="255"/>
      <c r="J37" s="255"/>
      <c r="K37" s="31">
        <v>7891.4539999999997</v>
      </c>
      <c r="L37" s="31">
        <v>7891.4539999999997</v>
      </c>
      <c r="M37" s="31">
        <f>4926+100000</f>
        <v>104926</v>
      </c>
      <c r="N37" s="28"/>
      <c r="O37" s="255"/>
      <c r="P37" s="255"/>
      <c r="Q37" s="31">
        <v>133396.05900000001</v>
      </c>
      <c r="R37" s="31">
        <v>133396.05900000001</v>
      </c>
      <c r="S37" s="31"/>
      <c r="T37" s="28"/>
      <c r="U37" s="28"/>
      <c r="V37" s="31">
        <f t="shared" si="47"/>
        <v>189041.33333333331</v>
      </c>
      <c r="W37" s="31">
        <f t="shared" si="49"/>
        <v>189041.33333333331</v>
      </c>
      <c r="X37" s="31">
        <f t="shared" si="50"/>
        <v>55361</v>
      </c>
      <c r="Y37" s="31">
        <f t="shared" si="48"/>
        <v>423490.58133333334</v>
      </c>
      <c r="Z37" s="31">
        <f t="shared" si="51"/>
        <v>423490.58133333334</v>
      </c>
      <c r="AA37" s="31">
        <f t="shared" si="52"/>
        <v>511257</v>
      </c>
    </row>
    <row r="38" spans="1:27" ht="19.5" customHeight="1">
      <c r="A38" s="28" t="s">
        <v>7</v>
      </c>
      <c r="B38" s="31">
        <v>380841.33333333302</v>
      </c>
      <c r="C38" s="31">
        <v>380841.33333333302</v>
      </c>
      <c r="D38" s="31">
        <v>453456</v>
      </c>
      <c r="E38" s="31">
        <v>474057.26833333302</v>
      </c>
      <c r="F38" s="31">
        <v>474057.26833333302</v>
      </c>
      <c r="G38" s="31">
        <f>356409-M38-S38</f>
        <v>211215</v>
      </c>
      <c r="H38" s="28"/>
      <c r="I38" s="255"/>
      <c r="J38" s="255"/>
      <c r="K38" s="31">
        <v>4322.0829999999996</v>
      </c>
      <c r="L38" s="31">
        <v>4322.0829999999996</v>
      </c>
      <c r="M38" s="31">
        <v>4995</v>
      </c>
      <c r="N38" s="28"/>
      <c r="O38" s="255"/>
      <c r="P38" s="255"/>
      <c r="Q38" s="28"/>
      <c r="R38" s="255">
        <v>0</v>
      </c>
      <c r="S38" s="31">
        <v>140199</v>
      </c>
      <c r="T38" s="28"/>
      <c r="U38" s="28"/>
      <c r="V38" s="31">
        <f t="shared" si="47"/>
        <v>380841.33333333302</v>
      </c>
      <c r="W38" s="31">
        <f t="shared" si="49"/>
        <v>380841.33333333302</v>
      </c>
      <c r="X38" s="31">
        <f t="shared" si="50"/>
        <v>453456</v>
      </c>
      <c r="Y38" s="31">
        <f t="shared" si="48"/>
        <v>478379.351333333</v>
      </c>
      <c r="Z38" s="31">
        <f t="shared" si="51"/>
        <v>478379.351333333</v>
      </c>
      <c r="AA38" s="31">
        <f t="shared" si="52"/>
        <v>356409</v>
      </c>
    </row>
    <row r="39" spans="1:27" ht="19.5" customHeight="1">
      <c r="A39" s="28" t="s">
        <v>8</v>
      </c>
      <c r="B39" s="31">
        <v>189041.33333333331</v>
      </c>
      <c r="C39" s="31">
        <v>189041.33333333331</v>
      </c>
      <c r="D39" s="31">
        <v>446421</v>
      </c>
      <c r="E39" s="31">
        <v>331587.72133333329</v>
      </c>
      <c r="F39" s="31">
        <v>331587.72133333329</v>
      </c>
      <c r="G39" s="31">
        <f>528145-M39</f>
        <v>246467</v>
      </c>
      <c r="H39" s="28"/>
      <c r="I39" s="255"/>
      <c r="J39" s="255"/>
      <c r="K39" s="31">
        <v>104322.083</v>
      </c>
      <c r="L39" s="31">
        <v>202501.08299999998</v>
      </c>
      <c r="M39" s="31">
        <f>5021+101748+74669+65000+35000+240</f>
        <v>281678</v>
      </c>
      <c r="N39" s="28"/>
      <c r="O39" s="255"/>
      <c r="P39" s="255"/>
      <c r="Q39" s="28"/>
      <c r="R39" s="31">
        <v>-79908</v>
      </c>
      <c r="S39" s="31"/>
      <c r="T39" s="28"/>
      <c r="U39" s="28"/>
      <c r="V39" s="31">
        <f t="shared" si="47"/>
        <v>189041.33333333331</v>
      </c>
      <c r="W39" s="31">
        <f t="shared" si="49"/>
        <v>189041.33333333331</v>
      </c>
      <c r="X39" s="31">
        <f t="shared" si="50"/>
        <v>446421</v>
      </c>
      <c r="Y39" s="31">
        <f t="shared" si="48"/>
        <v>435909.80433333328</v>
      </c>
      <c r="Z39" s="31">
        <f t="shared" si="51"/>
        <v>454180.80433333328</v>
      </c>
      <c r="AA39" s="31">
        <f t="shared" si="52"/>
        <v>528145</v>
      </c>
    </row>
    <row r="40" spans="1:27" ht="19.5" customHeight="1">
      <c r="A40" s="28" t="s">
        <v>9</v>
      </c>
      <c r="B40" s="31">
        <v>189041.33333333331</v>
      </c>
      <c r="C40" s="31">
        <v>394889.33333333331</v>
      </c>
      <c r="D40" s="31"/>
      <c r="E40" s="31">
        <v>261307.99333333332</v>
      </c>
      <c r="F40" s="31">
        <v>371262.82666666649</v>
      </c>
      <c r="G40" s="31"/>
      <c r="H40" s="28"/>
      <c r="I40" s="255"/>
      <c r="J40" s="255"/>
      <c r="K40" s="31">
        <v>7891.4539999999997</v>
      </c>
      <c r="L40" s="31">
        <v>6435.4539999999997</v>
      </c>
      <c r="M40" s="31"/>
      <c r="N40" s="28"/>
      <c r="O40" s="255"/>
      <c r="P40" s="255"/>
      <c r="Q40" s="31">
        <v>59785.245000000003</v>
      </c>
      <c r="R40" s="31">
        <v>59785.245000000003</v>
      </c>
      <c r="S40" s="31"/>
      <c r="T40" s="28"/>
      <c r="U40" s="28"/>
      <c r="V40" s="31">
        <f t="shared" si="47"/>
        <v>189041.33333333331</v>
      </c>
      <c r="W40" s="31">
        <f t="shared" si="49"/>
        <v>394889.33333333331</v>
      </c>
      <c r="X40" s="31">
        <f t="shared" si="50"/>
        <v>0</v>
      </c>
      <c r="Y40" s="31">
        <f t="shared" si="48"/>
        <v>328984.69233333331</v>
      </c>
      <c r="Z40" s="31">
        <f t="shared" si="51"/>
        <v>437483.52566666651</v>
      </c>
      <c r="AA40" s="31">
        <f t="shared" si="52"/>
        <v>0</v>
      </c>
    </row>
    <row r="41" spans="1:27" ht="19.5" customHeight="1">
      <c r="A41" s="28" t="s">
        <v>10</v>
      </c>
      <c r="B41" s="31">
        <v>189041.33333333331</v>
      </c>
      <c r="C41" s="31">
        <v>242889.33333333331</v>
      </c>
      <c r="D41" s="31"/>
      <c r="E41" s="31">
        <v>286445.26833333331</v>
      </c>
      <c r="F41" s="31">
        <v>396400.10166666651</v>
      </c>
      <c r="G41" s="31"/>
      <c r="H41" s="28"/>
      <c r="I41" s="255"/>
      <c r="J41" s="255"/>
      <c r="K41" s="31">
        <v>4322.0829999999996</v>
      </c>
      <c r="L41" s="31">
        <v>4322.0829999999996</v>
      </c>
      <c r="M41" s="31"/>
      <c r="N41" s="28"/>
      <c r="O41" s="255"/>
      <c r="P41" s="255"/>
      <c r="Q41" s="28"/>
      <c r="R41" s="255">
        <v>0</v>
      </c>
      <c r="S41" s="31"/>
      <c r="T41" s="28"/>
      <c r="U41" s="28"/>
      <c r="V41" s="31">
        <f t="shared" si="47"/>
        <v>189041.33333333331</v>
      </c>
      <c r="W41" s="31">
        <f t="shared" si="49"/>
        <v>242889.33333333331</v>
      </c>
      <c r="X41" s="31">
        <f t="shared" si="50"/>
        <v>0</v>
      </c>
      <c r="Y41" s="31">
        <f t="shared" si="48"/>
        <v>290767.3513333333</v>
      </c>
      <c r="Z41" s="31">
        <f t="shared" si="51"/>
        <v>400722.18466666649</v>
      </c>
      <c r="AA41" s="31">
        <f t="shared" si="52"/>
        <v>0</v>
      </c>
    </row>
    <row r="42" spans="1:27" ht="19.5" customHeight="1">
      <c r="A42" s="28" t="s">
        <v>11</v>
      </c>
      <c r="B42" s="31">
        <v>1401697.3333333333</v>
      </c>
      <c r="C42" s="31">
        <v>1455545.3333333333</v>
      </c>
      <c r="D42" s="31"/>
      <c r="E42" s="31">
        <v>599801.67633333337</v>
      </c>
      <c r="F42" s="31">
        <v>709756.5096666665</v>
      </c>
      <c r="G42" s="31"/>
      <c r="H42" s="68">
        <v>782679</v>
      </c>
      <c r="I42" s="68">
        <v>782679</v>
      </c>
      <c r="J42" s="68">
        <v>0</v>
      </c>
      <c r="K42" s="31">
        <v>654322.08299999998</v>
      </c>
      <c r="L42" s="31">
        <v>454322.08299999998</v>
      </c>
      <c r="M42" s="31"/>
      <c r="N42" s="28"/>
      <c r="O42" s="255"/>
      <c r="P42" s="255"/>
      <c r="Q42" s="28"/>
      <c r="R42" s="255">
        <v>0</v>
      </c>
      <c r="S42" s="31"/>
      <c r="T42" s="28"/>
      <c r="U42" s="28"/>
      <c r="V42" s="31">
        <f t="shared" si="47"/>
        <v>2184376.333333333</v>
      </c>
      <c r="W42" s="31">
        <f t="shared" si="49"/>
        <v>2238224.333333333</v>
      </c>
      <c r="X42" s="31">
        <f t="shared" si="50"/>
        <v>0</v>
      </c>
      <c r="Y42" s="31">
        <f t="shared" si="48"/>
        <v>1254123.7593333335</v>
      </c>
      <c r="Z42" s="31">
        <f t="shared" si="51"/>
        <v>1164078.5926666665</v>
      </c>
      <c r="AA42" s="31">
        <f t="shared" si="52"/>
        <v>0</v>
      </c>
    </row>
    <row r="43" spans="1:27" ht="19.5" customHeight="1">
      <c r="A43" s="28" t="s">
        <v>12</v>
      </c>
      <c r="B43" s="31">
        <v>189041.33333333331</v>
      </c>
      <c r="C43" s="31">
        <v>242889.33333333331</v>
      </c>
      <c r="D43" s="31"/>
      <c r="E43" s="31">
        <v>261709.18733333331</v>
      </c>
      <c r="F43" s="31">
        <v>371664.0206666665</v>
      </c>
      <c r="G43" s="31"/>
      <c r="H43" s="28"/>
      <c r="I43" s="255"/>
      <c r="J43" s="255"/>
      <c r="K43" s="31">
        <v>7891.4539999999997</v>
      </c>
      <c r="L43" s="31">
        <v>6435.4539999999997</v>
      </c>
      <c r="M43" s="31"/>
      <c r="N43" s="28"/>
      <c r="O43" s="255"/>
      <c r="P43" s="255"/>
      <c r="Q43" s="31">
        <v>133396.05900000001</v>
      </c>
      <c r="R43" s="31">
        <v>133396.05900000001</v>
      </c>
      <c r="S43" s="31"/>
      <c r="T43" s="28"/>
      <c r="U43" s="28"/>
      <c r="V43" s="31">
        <f t="shared" si="47"/>
        <v>189041.33333333331</v>
      </c>
      <c r="W43" s="31">
        <f t="shared" si="49"/>
        <v>242889.33333333331</v>
      </c>
      <c r="X43" s="31">
        <f t="shared" si="50"/>
        <v>0</v>
      </c>
      <c r="Y43" s="31">
        <f t="shared" si="48"/>
        <v>402996.70033333334</v>
      </c>
      <c r="Z43" s="31">
        <f t="shared" si="51"/>
        <v>511495.53366666654</v>
      </c>
      <c r="AA43" s="31">
        <f t="shared" si="52"/>
        <v>0</v>
      </c>
    </row>
    <row r="44" spans="1:27" ht="19.5" customHeight="1">
      <c r="A44" s="28" t="s">
        <v>13</v>
      </c>
      <c r="B44" s="31">
        <v>189041.33333333331</v>
      </c>
      <c r="C44" s="31">
        <v>242889.33333333331</v>
      </c>
      <c r="D44" s="31"/>
      <c r="E44" s="31">
        <v>283006.26833333331</v>
      </c>
      <c r="F44" s="31">
        <v>392961.10166666651</v>
      </c>
      <c r="G44" s="31"/>
      <c r="H44" s="28"/>
      <c r="I44" s="255"/>
      <c r="J44" s="255"/>
      <c r="K44" s="31">
        <v>4322.0829999999996</v>
      </c>
      <c r="L44" s="31">
        <v>4322.0829999999996</v>
      </c>
      <c r="M44" s="31"/>
      <c r="N44" s="28"/>
      <c r="O44" s="255"/>
      <c r="P44" s="255"/>
      <c r="Q44" s="28"/>
      <c r="R44" s="255">
        <v>0</v>
      </c>
      <c r="S44" s="31"/>
      <c r="T44" s="28"/>
      <c r="U44" s="28"/>
      <c r="V44" s="31">
        <f t="shared" si="47"/>
        <v>189041.33333333331</v>
      </c>
      <c r="W44" s="31">
        <f t="shared" si="49"/>
        <v>242889.33333333331</v>
      </c>
      <c r="X44" s="31">
        <f t="shared" si="50"/>
        <v>0</v>
      </c>
      <c r="Y44" s="31">
        <f t="shared" si="48"/>
        <v>287328.3513333333</v>
      </c>
      <c r="Z44" s="31">
        <f t="shared" si="51"/>
        <v>397283.18466666649</v>
      </c>
      <c r="AA44" s="31">
        <f t="shared" si="52"/>
        <v>0</v>
      </c>
    </row>
    <row r="45" spans="1:27" ht="19.5" customHeight="1">
      <c r="A45" s="28" t="s">
        <v>14</v>
      </c>
      <c r="B45" s="31">
        <v>189041.33333333331</v>
      </c>
      <c r="C45" s="31">
        <v>242889.33333333331</v>
      </c>
      <c r="D45" s="31"/>
      <c r="E45" s="31">
        <v>325476.65033333329</v>
      </c>
      <c r="F45" s="31">
        <v>435431.48366666649</v>
      </c>
      <c r="G45" s="31"/>
      <c r="H45" s="28"/>
      <c r="I45" s="255"/>
      <c r="J45" s="255"/>
      <c r="K45" s="31">
        <v>4322.0829999999996</v>
      </c>
      <c r="L45" s="31">
        <v>4322.0829999999996</v>
      </c>
      <c r="M45" s="31"/>
      <c r="N45" s="28"/>
      <c r="O45" s="255"/>
      <c r="P45" s="255"/>
      <c r="Q45" s="28"/>
      <c r="R45" s="255">
        <v>0</v>
      </c>
      <c r="S45" s="31"/>
      <c r="T45" s="28"/>
      <c r="U45" s="28"/>
      <c r="V45" s="31">
        <f t="shared" si="47"/>
        <v>189041.33333333331</v>
      </c>
      <c r="W45" s="31">
        <f t="shared" si="49"/>
        <v>242889.33333333331</v>
      </c>
      <c r="X45" s="31">
        <f t="shared" si="50"/>
        <v>0</v>
      </c>
      <c r="Y45" s="31">
        <f t="shared" si="48"/>
        <v>329798.73333333328</v>
      </c>
      <c r="Z45" s="31">
        <f t="shared" si="51"/>
        <v>439753.56666666648</v>
      </c>
      <c r="AA45" s="31">
        <f t="shared" si="52"/>
        <v>0</v>
      </c>
    </row>
    <row r="46" spans="1:27" ht="19.5" customHeight="1">
      <c r="A46" s="8" t="s">
        <v>15</v>
      </c>
      <c r="B46" s="68">
        <f t="shared" ref="B46:M46" si="53">SUM(B34:B45)</f>
        <v>4885607.9999999991</v>
      </c>
      <c r="C46" s="68">
        <f t="shared" si="53"/>
        <v>5360695.9999999991</v>
      </c>
      <c r="D46" s="68">
        <f t="shared" si="53"/>
        <v>3014860</v>
      </c>
      <c r="E46" s="68">
        <f t="shared" si="53"/>
        <v>4051055.1910000001</v>
      </c>
      <c r="F46" s="68">
        <f t="shared" si="53"/>
        <v>4710784.1909999987</v>
      </c>
      <c r="G46" s="68">
        <f t="shared" si="53"/>
        <v>1771626</v>
      </c>
      <c r="H46" s="68">
        <f t="shared" si="53"/>
        <v>782679</v>
      </c>
      <c r="I46" s="68">
        <f t="shared" si="53"/>
        <v>782679</v>
      </c>
      <c r="J46" s="68">
        <f t="shared" si="53"/>
        <v>0</v>
      </c>
      <c r="K46" s="68">
        <f t="shared" si="53"/>
        <v>1230869.2010000001</v>
      </c>
      <c r="L46" s="488">
        <f t="shared" si="53"/>
        <v>1126136.2010000001</v>
      </c>
      <c r="M46" s="68">
        <f t="shared" si="53"/>
        <v>1024266</v>
      </c>
      <c r="N46" s="68">
        <f t="shared" ref="N46:S46" si="54">SUM(N34:N45)</f>
        <v>0</v>
      </c>
      <c r="O46" s="68"/>
      <c r="P46" s="68"/>
      <c r="Q46" s="68">
        <f t="shared" si="54"/>
        <v>386362.60800000001</v>
      </c>
      <c r="R46" s="68">
        <f t="shared" si="54"/>
        <v>306454.60800000001</v>
      </c>
      <c r="S46" s="68">
        <f t="shared" si="54"/>
        <v>200678</v>
      </c>
      <c r="T46" s="28"/>
      <c r="U46" s="28"/>
      <c r="V46" s="68">
        <f t="shared" ref="V46:Y46" si="55">SUM(V34:V45)</f>
        <v>5668286.9999999991</v>
      </c>
      <c r="W46" s="68">
        <f t="shared" si="55"/>
        <v>6143374.9999999991</v>
      </c>
      <c r="X46" s="68">
        <f t="shared" si="55"/>
        <v>3014860</v>
      </c>
      <c r="Y46" s="68">
        <f t="shared" si="55"/>
        <v>5668287</v>
      </c>
      <c r="Z46" s="68">
        <f t="shared" ref="Z46:AA46" si="56">SUM(Z34:Z45)</f>
        <v>6143374.9999999991</v>
      </c>
      <c r="AA46" s="68">
        <f t="shared" si="56"/>
        <v>2996570</v>
      </c>
    </row>
    <row r="48" spans="1:27">
      <c r="K48" s="266"/>
      <c r="M48" s="266"/>
      <c r="AA48" s="266"/>
    </row>
    <row r="49" spans="13:24">
      <c r="M49" s="266"/>
    </row>
    <row r="50" spans="13:24">
      <c r="M50" s="266"/>
    </row>
    <row r="51" spans="13:24">
      <c r="M51" s="266"/>
    </row>
    <row r="52" spans="13:24">
      <c r="M52" s="266"/>
      <c r="X52" s="266"/>
    </row>
    <row r="53" spans="13:24">
      <c r="M53" s="266"/>
    </row>
    <row r="54" spans="13:24">
      <c r="M54" s="266"/>
    </row>
    <row r="55" spans="13:24">
      <c r="M55" s="266"/>
    </row>
    <row r="56" spans="13:24">
      <c r="M56" s="266"/>
    </row>
    <row r="57" spans="13:24">
      <c r="M57" s="266"/>
    </row>
    <row r="58" spans="13:24">
      <c r="M58" s="266"/>
    </row>
    <row r="59" spans="13:24">
      <c r="M59" s="266"/>
    </row>
    <row r="60" spans="13:24">
      <c r="M60" s="266"/>
    </row>
    <row r="61" spans="13:24">
      <c r="M61" s="266"/>
    </row>
    <row r="62" spans="13:24">
      <c r="M62" s="266"/>
    </row>
    <row r="63" spans="13:24">
      <c r="M63" s="266"/>
    </row>
    <row r="64" spans="13:24">
      <c r="M64" s="266"/>
    </row>
    <row r="65" spans="1:23">
      <c r="M65" s="266"/>
    </row>
    <row r="66" spans="1:23">
      <c r="M66" s="266"/>
    </row>
    <row r="67" spans="1:23">
      <c r="M67" s="266"/>
    </row>
    <row r="68" spans="1:23">
      <c r="M68" s="266"/>
    </row>
    <row r="69" spans="1:23">
      <c r="M69" s="266"/>
    </row>
    <row r="70" spans="1:23">
      <c r="M70" s="266"/>
    </row>
    <row r="72" spans="1:23" ht="13.8">
      <c r="R72" s="2" t="s">
        <v>378</v>
      </c>
      <c r="W72" s="66"/>
    </row>
    <row r="73" spans="1:23">
      <c r="A73" s="65" t="s">
        <v>527</v>
      </c>
    </row>
    <row r="74" spans="1:23">
      <c r="A74" s="65"/>
    </row>
    <row r="76" spans="1:23" ht="15.75" customHeight="1">
      <c r="A76" s="727" t="s">
        <v>143</v>
      </c>
      <c r="B76" s="727"/>
      <c r="C76" s="727"/>
      <c r="D76" s="727"/>
      <c r="E76" s="727"/>
      <c r="F76" s="727"/>
      <c r="G76" s="727"/>
      <c r="H76" s="727"/>
      <c r="I76" s="727"/>
      <c r="J76" s="701"/>
      <c r="K76" s="701"/>
      <c r="L76" s="701"/>
      <c r="M76" s="701"/>
      <c r="N76" s="701"/>
      <c r="O76" s="701"/>
      <c r="P76" s="701"/>
      <c r="Q76" s="701"/>
      <c r="R76" s="701"/>
      <c r="S76" s="701"/>
    </row>
    <row r="77" spans="1:23" ht="15.75" customHeight="1">
      <c r="A77" s="246"/>
      <c r="B77" s="246"/>
      <c r="C77" s="246"/>
      <c r="D77" s="246"/>
      <c r="E77" s="246"/>
      <c r="F77" s="246"/>
      <c r="G77" s="246"/>
      <c r="H77" s="246"/>
      <c r="I77" s="257">
        <v>41455</v>
      </c>
      <c r="J77" s="244"/>
      <c r="K77" s="244"/>
      <c r="L77" s="244"/>
      <c r="M77" s="244"/>
      <c r="N77" s="244"/>
      <c r="O77" s="244"/>
      <c r="P77" s="244"/>
      <c r="Q77" s="244"/>
      <c r="R77" s="244"/>
      <c r="S77" s="244"/>
    </row>
    <row r="78" spans="1:23">
      <c r="S78" s="3" t="s">
        <v>0</v>
      </c>
    </row>
    <row r="79" spans="1:23" ht="19.5" customHeight="1">
      <c r="A79" s="944" t="s">
        <v>2</v>
      </c>
      <c r="B79" s="512"/>
      <c r="C79" s="942" t="s">
        <v>545</v>
      </c>
      <c r="D79" s="943"/>
      <c r="E79" s="889"/>
      <c r="F79" s="942" t="s">
        <v>546</v>
      </c>
      <c r="G79" s="943"/>
      <c r="H79" s="889"/>
      <c r="I79" s="948" t="s">
        <v>144</v>
      </c>
      <c r="J79" s="949"/>
      <c r="K79" s="946" t="s">
        <v>145</v>
      </c>
      <c r="L79" s="947"/>
      <c r="M79" s="942" t="s">
        <v>19</v>
      </c>
      <c r="N79" s="889"/>
      <c r="O79" s="942" t="s">
        <v>547</v>
      </c>
      <c r="P79" s="943"/>
      <c r="Q79" s="889"/>
      <c r="R79" s="942" t="s">
        <v>548</v>
      </c>
      <c r="S79" s="943"/>
      <c r="T79" s="889"/>
    </row>
    <row r="80" spans="1:23" ht="50.4" customHeight="1">
      <c r="A80" s="945"/>
      <c r="B80" s="512" t="s">
        <v>765</v>
      </c>
      <c r="C80" s="265" t="s">
        <v>231</v>
      </c>
      <c r="D80" s="265" t="s">
        <v>525</v>
      </c>
      <c r="E80" s="265" t="s">
        <v>743</v>
      </c>
      <c r="F80" s="265" t="s">
        <v>231</v>
      </c>
      <c r="G80" s="265" t="s">
        <v>525</v>
      </c>
      <c r="H80" s="265" t="s">
        <v>743</v>
      </c>
      <c r="I80" s="14" t="s">
        <v>17</v>
      </c>
      <c r="J80" s="69" t="s">
        <v>18</v>
      </c>
      <c r="K80" s="19" t="s">
        <v>61</v>
      </c>
      <c r="L80" s="19" t="s">
        <v>62</v>
      </c>
      <c r="M80" s="14" t="s">
        <v>20</v>
      </c>
      <c r="N80" s="14" t="s">
        <v>21</v>
      </c>
      <c r="O80" s="265" t="s">
        <v>231</v>
      </c>
      <c r="P80" s="265" t="s">
        <v>525</v>
      </c>
      <c r="Q80" s="265" t="s">
        <v>743</v>
      </c>
      <c r="R80" s="265" t="s">
        <v>231</v>
      </c>
      <c r="S80" s="265" t="s">
        <v>525</v>
      </c>
      <c r="T80" s="265" t="s">
        <v>743</v>
      </c>
    </row>
    <row r="81" spans="1:20" ht="19.5" customHeight="1">
      <c r="A81" s="16" t="s">
        <v>3</v>
      </c>
      <c r="B81" s="31">
        <v>11490</v>
      </c>
      <c r="C81" s="31">
        <f>436006/12</f>
        <v>36333.833333333336</v>
      </c>
      <c r="D81" s="31">
        <v>36333.833333333336</v>
      </c>
      <c r="E81" s="31">
        <f>12087-341-B81</f>
        <v>256</v>
      </c>
      <c r="F81" s="31">
        <f>436006/12</f>
        <v>36333.833333333336</v>
      </c>
      <c r="G81" s="31">
        <v>36333.833333333336</v>
      </c>
      <c r="H81" s="31">
        <v>11438</v>
      </c>
      <c r="I81" s="16"/>
      <c r="J81" s="28"/>
      <c r="K81" s="16"/>
      <c r="L81" s="16"/>
      <c r="M81" s="16"/>
      <c r="N81" s="16"/>
      <c r="O81" s="31">
        <f t="shared" ref="O81:O92" si="57">+C81+I81+K81+M81</f>
        <v>36333.833333333336</v>
      </c>
      <c r="P81" s="31">
        <f>+D81</f>
        <v>36333.833333333336</v>
      </c>
      <c r="Q81" s="31">
        <f>+B81+E81</f>
        <v>11746</v>
      </c>
      <c r="R81" s="31">
        <f>+F81</f>
        <v>36333.833333333336</v>
      </c>
      <c r="S81" s="31">
        <f>+G81</f>
        <v>36333.833333333336</v>
      </c>
      <c r="T81" s="31">
        <f>+H81</f>
        <v>11438</v>
      </c>
    </row>
    <row r="82" spans="1:20" ht="19.5" customHeight="1">
      <c r="A82" s="16" t="s">
        <v>4</v>
      </c>
      <c r="B82" s="31">
        <v>15800</v>
      </c>
      <c r="C82" s="31">
        <f t="shared" ref="C82:F86" si="58">436006/12</f>
        <v>36333.833333333336</v>
      </c>
      <c r="D82" s="31">
        <v>36333.833333333336</v>
      </c>
      <c r="E82" s="31">
        <f>15968-B82</f>
        <v>168</v>
      </c>
      <c r="F82" s="31">
        <f t="shared" si="58"/>
        <v>36333.833333333336</v>
      </c>
      <c r="G82" s="31">
        <v>36333.833333333336</v>
      </c>
      <c r="H82" s="31">
        <v>16317</v>
      </c>
      <c r="I82" s="16"/>
      <c r="J82" s="28"/>
      <c r="K82" s="16"/>
      <c r="L82" s="16"/>
      <c r="M82" s="16"/>
      <c r="N82" s="16"/>
      <c r="O82" s="31">
        <f t="shared" si="57"/>
        <v>36333.833333333336</v>
      </c>
      <c r="P82" s="31">
        <f t="shared" ref="P82:P92" si="59">+D82</f>
        <v>36333.833333333336</v>
      </c>
      <c r="Q82" s="31">
        <f t="shared" ref="Q82:Q92" si="60">+B82+E82</f>
        <v>15968</v>
      </c>
      <c r="R82" s="31">
        <f t="shared" ref="R82:R92" si="61">+F82</f>
        <v>36333.833333333336</v>
      </c>
      <c r="S82" s="31">
        <f t="shared" ref="S82:S92" si="62">+G82</f>
        <v>36333.833333333336</v>
      </c>
      <c r="T82" s="31">
        <f t="shared" ref="T82:T92" si="63">+H82</f>
        <v>16317</v>
      </c>
    </row>
    <row r="83" spans="1:20" ht="19.5" customHeight="1">
      <c r="A83" s="16" t="s">
        <v>5</v>
      </c>
      <c r="B83" s="31">
        <v>64603</v>
      </c>
      <c r="C83" s="31">
        <f t="shared" si="58"/>
        <v>36333.833333333336</v>
      </c>
      <c r="D83" s="31">
        <v>36333.833333333336</v>
      </c>
      <c r="E83" s="31">
        <f>65017-B83</f>
        <v>414</v>
      </c>
      <c r="F83" s="31">
        <f t="shared" si="58"/>
        <v>36333.833333333336</v>
      </c>
      <c r="G83" s="31">
        <v>36333.833333333336</v>
      </c>
      <c r="H83" s="31">
        <v>63922</v>
      </c>
      <c r="I83" s="16"/>
      <c r="J83" s="28"/>
      <c r="K83" s="16"/>
      <c r="L83" s="16"/>
      <c r="M83" s="16"/>
      <c r="N83" s="16"/>
      <c r="O83" s="31">
        <f t="shared" si="57"/>
        <v>36333.833333333336</v>
      </c>
      <c r="P83" s="31">
        <f t="shared" si="59"/>
        <v>36333.833333333336</v>
      </c>
      <c r="Q83" s="31">
        <f t="shared" si="60"/>
        <v>65017</v>
      </c>
      <c r="R83" s="31">
        <f t="shared" si="61"/>
        <v>36333.833333333336</v>
      </c>
      <c r="S83" s="31">
        <f t="shared" si="62"/>
        <v>36333.833333333336</v>
      </c>
      <c r="T83" s="31">
        <f t="shared" si="63"/>
        <v>63922</v>
      </c>
    </row>
    <row r="84" spans="1:20" ht="19.5" customHeight="1">
      <c r="A84" s="16" t="s">
        <v>6</v>
      </c>
      <c r="B84" s="31">
        <v>52129</v>
      </c>
      <c r="C84" s="31">
        <f t="shared" si="58"/>
        <v>36333.833333333336</v>
      </c>
      <c r="D84" s="31">
        <v>36333.833333333336</v>
      </c>
      <c r="E84" s="31">
        <f>52509-B84</f>
        <v>380</v>
      </c>
      <c r="F84" s="31">
        <f t="shared" si="58"/>
        <v>36333.833333333336</v>
      </c>
      <c r="G84" s="31">
        <v>36333.833333333336</v>
      </c>
      <c r="H84" s="31">
        <v>52912</v>
      </c>
      <c r="I84" s="16"/>
      <c r="J84" s="28"/>
      <c r="K84" s="16"/>
      <c r="L84" s="16"/>
      <c r="M84" s="16"/>
      <c r="N84" s="16"/>
      <c r="O84" s="31">
        <f t="shared" si="57"/>
        <v>36333.833333333336</v>
      </c>
      <c r="P84" s="31">
        <f t="shared" si="59"/>
        <v>36333.833333333336</v>
      </c>
      <c r="Q84" s="31">
        <f t="shared" si="60"/>
        <v>52509</v>
      </c>
      <c r="R84" s="31">
        <f t="shared" si="61"/>
        <v>36333.833333333336</v>
      </c>
      <c r="S84" s="31">
        <f t="shared" si="62"/>
        <v>36333.833333333336</v>
      </c>
      <c r="T84" s="31">
        <f t="shared" si="63"/>
        <v>52912</v>
      </c>
    </row>
    <row r="85" spans="1:20" ht="19.5" customHeight="1">
      <c r="A85" s="16" t="s">
        <v>7</v>
      </c>
      <c r="B85" s="31">
        <v>30423</v>
      </c>
      <c r="C85" s="31">
        <f t="shared" si="58"/>
        <v>36333.833333333336</v>
      </c>
      <c r="D85" s="31">
        <v>36333.833333333336</v>
      </c>
      <c r="E85" s="31">
        <f>30688-B85</f>
        <v>265</v>
      </c>
      <c r="F85" s="31">
        <f t="shared" si="58"/>
        <v>36333.833333333336</v>
      </c>
      <c r="G85" s="31">
        <v>36333.833333333336</v>
      </c>
      <c r="H85" s="31">
        <v>30705</v>
      </c>
      <c r="I85" s="16"/>
      <c r="J85" s="28"/>
      <c r="K85" s="16"/>
      <c r="L85" s="16"/>
      <c r="M85" s="16"/>
      <c r="N85" s="16"/>
      <c r="O85" s="31">
        <f t="shared" si="57"/>
        <v>36333.833333333336</v>
      </c>
      <c r="P85" s="31">
        <f t="shared" si="59"/>
        <v>36333.833333333336</v>
      </c>
      <c r="Q85" s="31">
        <f t="shared" si="60"/>
        <v>30688</v>
      </c>
      <c r="R85" s="31">
        <f t="shared" si="61"/>
        <v>36333.833333333336</v>
      </c>
      <c r="S85" s="31">
        <f t="shared" si="62"/>
        <v>36333.833333333336</v>
      </c>
      <c r="T85" s="31">
        <f t="shared" si="63"/>
        <v>30705</v>
      </c>
    </row>
    <row r="86" spans="1:20" ht="19.5" customHeight="1">
      <c r="A86" s="16" t="s">
        <v>8</v>
      </c>
      <c r="B86" s="31">
        <v>27920</v>
      </c>
      <c r="C86" s="31">
        <f t="shared" si="58"/>
        <v>36333.833333333336</v>
      </c>
      <c r="D86" s="31">
        <v>36333.833333333336</v>
      </c>
      <c r="E86" s="31">
        <f>30254-B86</f>
        <v>2334</v>
      </c>
      <c r="F86" s="31">
        <f t="shared" si="58"/>
        <v>36333.833333333336</v>
      </c>
      <c r="G86" s="31">
        <v>36333.833333333336</v>
      </c>
      <c r="H86" s="31">
        <v>30937</v>
      </c>
      <c r="I86" s="16"/>
      <c r="J86" s="28"/>
      <c r="K86" s="16"/>
      <c r="L86" s="16"/>
      <c r="M86" s="16"/>
      <c r="N86" s="16"/>
      <c r="O86" s="31">
        <f t="shared" si="57"/>
        <v>36333.833333333336</v>
      </c>
      <c r="P86" s="31">
        <f t="shared" si="59"/>
        <v>36333.833333333336</v>
      </c>
      <c r="Q86" s="31">
        <f t="shared" si="60"/>
        <v>30254</v>
      </c>
      <c r="R86" s="31">
        <f t="shared" si="61"/>
        <v>36333.833333333336</v>
      </c>
      <c r="S86" s="31">
        <f t="shared" si="62"/>
        <v>36333.833333333336</v>
      </c>
      <c r="T86" s="31">
        <f t="shared" si="63"/>
        <v>30937</v>
      </c>
    </row>
    <row r="87" spans="1:20" ht="19.5" customHeight="1">
      <c r="A87" s="16" t="s">
        <v>9</v>
      </c>
      <c r="B87" s="31"/>
      <c r="C87" s="31">
        <f>436006/12</f>
        <v>36333.833333333336</v>
      </c>
      <c r="D87" s="31">
        <v>38064.333333333336</v>
      </c>
      <c r="E87" s="31"/>
      <c r="F87" s="31">
        <f>436006/12</f>
        <v>36333.833333333336</v>
      </c>
      <c r="G87" s="31">
        <v>38064.333333333336</v>
      </c>
      <c r="H87" s="31"/>
      <c r="I87" s="16"/>
      <c r="J87" s="28"/>
      <c r="K87" s="16"/>
      <c r="L87" s="16"/>
      <c r="M87" s="16"/>
      <c r="N87" s="16"/>
      <c r="O87" s="31">
        <f t="shared" si="57"/>
        <v>36333.833333333336</v>
      </c>
      <c r="P87" s="31">
        <f t="shared" si="59"/>
        <v>38064.333333333336</v>
      </c>
      <c r="Q87" s="31">
        <f t="shared" si="60"/>
        <v>0</v>
      </c>
      <c r="R87" s="31">
        <f t="shared" si="61"/>
        <v>36333.833333333336</v>
      </c>
      <c r="S87" s="31">
        <f t="shared" si="62"/>
        <v>38064.333333333336</v>
      </c>
      <c r="T87" s="31">
        <f t="shared" si="63"/>
        <v>0</v>
      </c>
    </row>
    <row r="88" spans="1:20" ht="19.5" customHeight="1">
      <c r="A88" s="16" t="s">
        <v>10</v>
      </c>
      <c r="B88" s="513"/>
      <c r="C88" s="31">
        <f t="shared" ref="C88:C92" si="64">436006/12</f>
        <v>36333.833333333336</v>
      </c>
      <c r="D88" s="31">
        <v>38064.333333333336</v>
      </c>
      <c r="E88" s="31"/>
      <c r="F88" s="31">
        <f t="shared" ref="F88:F92" si="65">436006/12</f>
        <v>36333.833333333336</v>
      </c>
      <c r="G88" s="31">
        <v>38064.333333333336</v>
      </c>
      <c r="H88" s="31"/>
      <c r="I88" s="16"/>
      <c r="J88" s="28"/>
      <c r="K88" s="16"/>
      <c r="L88" s="16"/>
      <c r="M88" s="16"/>
      <c r="N88" s="16"/>
      <c r="O88" s="31">
        <f t="shared" si="57"/>
        <v>36333.833333333336</v>
      </c>
      <c r="P88" s="31">
        <f t="shared" si="59"/>
        <v>38064.333333333336</v>
      </c>
      <c r="Q88" s="31">
        <f t="shared" si="60"/>
        <v>0</v>
      </c>
      <c r="R88" s="31">
        <f t="shared" si="61"/>
        <v>36333.833333333336</v>
      </c>
      <c r="S88" s="31">
        <f t="shared" si="62"/>
        <v>38064.333333333336</v>
      </c>
      <c r="T88" s="31">
        <f t="shared" si="63"/>
        <v>0</v>
      </c>
    </row>
    <row r="89" spans="1:20" ht="19.5" customHeight="1">
      <c r="A89" s="16" t="s">
        <v>11</v>
      </c>
      <c r="B89" s="513"/>
      <c r="C89" s="31">
        <f t="shared" si="64"/>
        <v>36333.833333333336</v>
      </c>
      <c r="D89" s="31">
        <v>38064.333333333336</v>
      </c>
      <c r="E89" s="31"/>
      <c r="F89" s="31">
        <f t="shared" si="65"/>
        <v>36333.833333333336</v>
      </c>
      <c r="G89" s="31">
        <v>38064.333333333336</v>
      </c>
      <c r="H89" s="31"/>
      <c r="I89" s="16"/>
      <c r="J89" s="28"/>
      <c r="K89" s="16"/>
      <c r="L89" s="16"/>
      <c r="M89" s="16"/>
      <c r="N89" s="16"/>
      <c r="O89" s="31">
        <f t="shared" si="57"/>
        <v>36333.833333333336</v>
      </c>
      <c r="P89" s="31">
        <f t="shared" si="59"/>
        <v>38064.333333333336</v>
      </c>
      <c r="Q89" s="31">
        <f t="shared" si="60"/>
        <v>0</v>
      </c>
      <c r="R89" s="31">
        <f t="shared" si="61"/>
        <v>36333.833333333336</v>
      </c>
      <c r="S89" s="31">
        <f t="shared" si="62"/>
        <v>38064.333333333336</v>
      </c>
      <c r="T89" s="31">
        <f t="shared" si="63"/>
        <v>0</v>
      </c>
    </row>
    <row r="90" spans="1:20" ht="19.5" customHeight="1">
      <c r="A90" s="16" t="s">
        <v>12</v>
      </c>
      <c r="B90" s="513"/>
      <c r="C90" s="31">
        <f t="shared" si="64"/>
        <v>36333.833333333336</v>
      </c>
      <c r="D90" s="31">
        <v>38064.333333333336</v>
      </c>
      <c r="E90" s="31"/>
      <c r="F90" s="31">
        <f t="shared" si="65"/>
        <v>36333.833333333336</v>
      </c>
      <c r="G90" s="31">
        <v>38064.333333333336</v>
      </c>
      <c r="H90" s="31"/>
      <c r="I90" s="16"/>
      <c r="J90" s="28"/>
      <c r="K90" s="16"/>
      <c r="L90" s="14"/>
      <c r="M90" s="16"/>
      <c r="N90" s="16"/>
      <c r="O90" s="31">
        <f t="shared" si="57"/>
        <v>36333.833333333336</v>
      </c>
      <c r="P90" s="31">
        <f t="shared" si="59"/>
        <v>38064.333333333336</v>
      </c>
      <c r="Q90" s="31">
        <f t="shared" si="60"/>
        <v>0</v>
      </c>
      <c r="R90" s="31">
        <f t="shared" si="61"/>
        <v>36333.833333333336</v>
      </c>
      <c r="S90" s="31">
        <f t="shared" si="62"/>
        <v>38064.333333333336</v>
      </c>
      <c r="T90" s="31">
        <f t="shared" si="63"/>
        <v>0</v>
      </c>
    </row>
    <row r="91" spans="1:20" ht="19.5" customHeight="1">
      <c r="A91" s="16" t="s">
        <v>13</v>
      </c>
      <c r="B91" s="513"/>
      <c r="C91" s="31">
        <f t="shared" si="64"/>
        <v>36333.833333333336</v>
      </c>
      <c r="D91" s="31">
        <v>38064.333333333336</v>
      </c>
      <c r="E91" s="31"/>
      <c r="F91" s="31">
        <f t="shared" si="65"/>
        <v>36333.833333333336</v>
      </c>
      <c r="G91" s="31">
        <v>38064.333333333336</v>
      </c>
      <c r="H91" s="31"/>
      <c r="I91" s="16"/>
      <c r="J91" s="28"/>
      <c r="K91" s="16"/>
      <c r="L91" s="16"/>
      <c r="M91" s="16"/>
      <c r="N91" s="16"/>
      <c r="O91" s="31">
        <f t="shared" si="57"/>
        <v>36333.833333333336</v>
      </c>
      <c r="P91" s="31">
        <f t="shared" si="59"/>
        <v>38064.333333333336</v>
      </c>
      <c r="Q91" s="31">
        <f t="shared" si="60"/>
        <v>0</v>
      </c>
      <c r="R91" s="31">
        <f t="shared" si="61"/>
        <v>36333.833333333336</v>
      </c>
      <c r="S91" s="31">
        <f t="shared" si="62"/>
        <v>38064.333333333336</v>
      </c>
      <c r="T91" s="31">
        <f t="shared" si="63"/>
        <v>0</v>
      </c>
    </row>
    <row r="92" spans="1:20" ht="19.5" customHeight="1">
      <c r="A92" s="16" t="s">
        <v>14</v>
      </c>
      <c r="B92" s="513"/>
      <c r="C92" s="31">
        <f t="shared" si="64"/>
        <v>36333.833333333336</v>
      </c>
      <c r="D92" s="31">
        <v>38064.333333333336</v>
      </c>
      <c r="E92" s="31"/>
      <c r="F92" s="31">
        <f t="shared" si="65"/>
        <v>36333.833333333336</v>
      </c>
      <c r="G92" s="31">
        <v>38064.333333333336</v>
      </c>
      <c r="H92" s="31"/>
      <c r="I92" s="16"/>
      <c r="J92" s="28"/>
      <c r="K92" s="16"/>
      <c r="L92" s="16"/>
      <c r="M92" s="16"/>
      <c r="N92" s="16"/>
      <c r="O92" s="31">
        <f t="shared" si="57"/>
        <v>36333.833333333336</v>
      </c>
      <c r="P92" s="31">
        <f t="shared" si="59"/>
        <v>38064.333333333336</v>
      </c>
      <c r="Q92" s="31">
        <f t="shared" si="60"/>
        <v>0</v>
      </c>
      <c r="R92" s="31">
        <f t="shared" si="61"/>
        <v>36333.833333333336</v>
      </c>
      <c r="S92" s="31">
        <f t="shared" si="62"/>
        <v>38064.333333333336</v>
      </c>
      <c r="T92" s="31">
        <f t="shared" si="63"/>
        <v>0</v>
      </c>
    </row>
    <row r="93" spans="1:20" ht="19.5" customHeight="1">
      <c r="A93" s="8" t="s">
        <v>15</v>
      </c>
      <c r="B93" s="31">
        <f>SUM(B81:B92)</f>
        <v>202365</v>
      </c>
      <c r="C93" s="31">
        <f>SUM(C81:C92)</f>
        <v>436005.99999999994</v>
      </c>
      <c r="D93" s="31">
        <f t="shared" ref="D93:E93" si="66">SUM(D81:D92)</f>
        <v>446388.99999999994</v>
      </c>
      <c r="E93" s="31">
        <f t="shared" si="66"/>
        <v>3817</v>
      </c>
      <c r="F93" s="31">
        <f>SUM(F81:F92)</f>
        <v>436005.99999999994</v>
      </c>
      <c r="G93" s="31">
        <f t="shared" ref="G93:H93" si="67">SUM(G81:G92)</f>
        <v>446388.99999999994</v>
      </c>
      <c r="H93" s="31">
        <f t="shared" si="67"/>
        <v>206231</v>
      </c>
      <c r="I93" s="16"/>
      <c r="J93" s="28"/>
      <c r="K93" s="16"/>
      <c r="L93" s="16"/>
      <c r="M93" s="16"/>
      <c r="N93" s="16"/>
      <c r="O93" s="68">
        <f t="shared" ref="O93:R93" si="68">SUM(O81:O92)</f>
        <v>436005.99999999994</v>
      </c>
      <c r="P93" s="68">
        <f t="shared" si="68"/>
        <v>446388.99999999994</v>
      </c>
      <c r="Q93" s="68">
        <f t="shared" si="68"/>
        <v>206182</v>
      </c>
      <c r="R93" s="68">
        <f t="shared" si="68"/>
        <v>436005.99999999994</v>
      </c>
      <c r="S93" s="68">
        <f t="shared" ref="S93:T93" si="69">SUM(S81:S92)</f>
        <v>446388.99999999994</v>
      </c>
      <c r="T93" s="68">
        <f t="shared" si="69"/>
        <v>206231</v>
      </c>
    </row>
    <row r="94" spans="1:20" ht="19.5" customHeight="1">
      <c r="A94" s="35"/>
      <c r="B94" s="62"/>
      <c r="C94" s="62"/>
      <c r="D94" s="29"/>
      <c r="E94" s="29"/>
      <c r="F94" s="29"/>
      <c r="G94" s="29"/>
      <c r="H94" s="29"/>
      <c r="I94" s="29"/>
      <c r="J94" s="173"/>
      <c r="K94" s="173"/>
    </row>
    <row r="95" spans="1:20" ht="19.5" customHeight="1">
      <c r="A95" s="35"/>
      <c r="B95" s="62"/>
      <c r="C95" s="62"/>
      <c r="D95" s="29"/>
      <c r="E95" s="29"/>
      <c r="F95" s="29"/>
      <c r="G95" s="29"/>
      <c r="H95" s="29"/>
      <c r="I95" s="29"/>
      <c r="J95" s="173"/>
      <c r="K95" s="173"/>
    </row>
    <row r="96" spans="1:20" ht="19.5" customHeight="1">
      <c r="A96" s="35"/>
      <c r="B96" s="62"/>
      <c r="C96" s="62"/>
      <c r="D96" s="29"/>
      <c r="E96" s="29"/>
      <c r="F96" s="29"/>
      <c r="G96" s="29"/>
      <c r="H96" s="29"/>
      <c r="I96" s="29"/>
      <c r="J96" s="173"/>
      <c r="K96" s="173"/>
    </row>
    <row r="97" spans="1:11" ht="19.5" customHeight="1">
      <c r="A97" s="35"/>
      <c r="B97" s="62"/>
      <c r="C97" s="62"/>
      <c r="D97" s="29"/>
      <c r="E97" s="29"/>
      <c r="F97" s="29"/>
      <c r="G97" s="29"/>
      <c r="H97" s="29"/>
      <c r="I97" s="29"/>
      <c r="J97" s="173"/>
      <c r="K97" s="173"/>
    </row>
    <row r="98" spans="1:11" ht="19.5" customHeight="1">
      <c r="A98" s="35"/>
      <c r="B98" s="62"/>
      <c r="C98" s="62"/>
      <c r="D98" s="29"/>
      <c r="E98" s="29"/>
      <c r="F98" s="29"/>
      <c r="G98" s="29"/>
      <c r="H98" s="29"/>
      <c r="I98" s="29"/>
      <c r="J98" s="173"/>
      <c r="K98" s="173"/>
    </row>
    <row r="99" spans="1:11" ht="19.5" customHeight="1">
      <c r="A99" s="35"/>
      <c r="B99" s="62"/>
      <c r="C99" s="62"/>
      <c r="D99" s="29"/>
      <c r="E99" s="29"/>
      <c r="F99" s="29"/>
      <c r="G99" s="29"/>
      <c r="H99" s="29"/>
      <c r="I99" s="29"/>
      <c r="J99" s="173"/>
      <c r="K99" s="173"/>
    </row>
    <row r="100" spans="1:11" ht="19.5" customHeight="1">
      <c r="A100" s="35"/>
      <c r="B100" s="62"/>
      <c r="C100" s="62"/>
      <c r="D100" s="29"/>
      <c r="E100" s="29"/>
      <c r="F100" s="29"/>
      <c r="G100" s="29"/>
      <c r="H100" s="29"/>
      <c r="I100" s="29"/>
      <c r="J100" s="173"/>
      <c r="K100" s="173"/>
    </row>
    <row r="101" spans="1:11" ht="19.5" customHeight="1">
      <c r="A101" s="35"/>
      <c r="B101" s="62"/>
      <c r="C101" s="62"/>
      <c r="D101" s="29"/>
      <c r="E101" s="29"/>
      <c r="F101" s="29"/>
      <c r="G101" s="29"/>
      <c r="H101" s="29"/>
      <c r="I101" s="29"/>
      <c r="J101" s="173"/>
      <c r="K101" s="173"/>
    </row>
    <row r="102" spans="1:11" ht="19.5" customHeight="1">
      <c r="A102" s="35"/>
      <c r="B102" s="62"/>
      <c r="C102" s="62"/>
      <c r="D102" s="29"/>
      <c r="E102" s="29"/>
      <c r="F102" s="29"/>
      <c r="G102" s="29"/>
      <c r="H102" s="29"/>
      <c r="I102" s="29"/>
      <c r="J102" s="173"/>
      <c r="K102" s="173"/>
    </row>
    <row r="103" spans="1:11" ht="19.5" customHeight="1">
      <c r="A103" s="35"/>
      <c r="B103" s="62"/>
      <c r="C103" s="62"/>
      <c r="D103" s="29"/>
      <c r="E103" s="29"/>
      <c r="F103" s="29"/>
      <c r="G103" s="29"/>
      <c r="H103" s="29"/>
      <c r="I103" s="29"/>
      <c r="J103" s="173"/>
      <c r="K103" s="173"/>
    </row>
    <row r="104" spans="1:11" ht="19.5" customHeight="1">
      <c r="A104" s="35"/>
      <c r="B104" s="62"/>
      <c r="C104" s="62"/>
      <c r="D104" s="29"/>
      <c r="E104" s="29"/>
      <c r="F104" s="29"/>
      <c r="G104" s="29"/>
      <c r="H104" s="29"/>
      <c r="I104" s="29"/>
      <c r="J104" s="173"/>
      <c r="K104" s="173"/>
    </row>
    <row r="105" spans="1:11" ht="19.5" customHeight="1">
      <c r="A105" s="35"/>
      <c r="B105" s="62"/>
      <c r="C105" s="62"/>
      <c r="D105" s="29"/>
      <c r="E105" s="29"/>
      <c r="F105" s="29"/>
      <c r="G105" s="29"/>
      <c r="H105" s="29"/>
      <c r="I105" s="29"/>
      <c r="J105" s="173"/>
      <c r="K105" s="173"/>
    </row>
    <row r="106" spans="1:11" ht="19.5" customHeight="1">
      <c r="A106" s="35"/>
      <c r="B106" s="62"/>
      <c r="C106" s="62"/>
      <c r="D106" s="29"/>
      <c r="E106" s="29"/>
      <c r="F106" s="29"/>
      <c r="G106" s="29"/>
      <c r="H106" s="29"/>
      <c r="I106" s="29"/>
      <c r="J106" s="173"/>
      <c r="K106" s="173"/>
    </row>
    <row r="107" spans="1:11" ht="19.5" customHeight="1">
      <c r="A107" s="35"/>
      <c r="B107" s="62"/>
      <c r="C107" s="62"/>
      <c r="D107" s="29"/>
      <c r="E107" s="29"/>
      <c r="F107" s="29"/>
      <c r="G107" s="29"/>
      <c r="H107" s="29"/>
      <c r="I107" s="29"/>
      <c r="J107" s="173"/>
      <c r="K107" s="173"/>
    </row>
    <row r="108" spans="1:11" ht="19.5" customHeight="1">
      <c r="A108" s="35"/>
      <c r="B108" s="62"/>
      <c r="C108" s="62"/>
      <c r="D108" s="29"/>
      <c r="E108" s="29"/>
      <c r="F108" s="29"/>
      <c r="G108" s="29"/>
      <c r="H108" s="29"/>
      <c r="I108" s="29"/>
      <c r="J108" s="173"/>
      <c r="K108" s="173"/>
    </row>
    <row r="109" spans="1:11" ht="19.5" customHeight="1">
      <c r="A109" s="35"/>
      <c r="B109" s="62"/>
      <c r="C109" s="62"/>
      <c r="D109" s="29"/>
      <c r="E109" s="29"/>
      <c r="F109" s="29"/>
      <c r="G109" s="29"/>
      <c r="H109" s="29"/>
      <c r="I109" s="29"/>
      <c r="J109" s="173"/>
      <c r="K109" s="173"/>
    </row>
    <row r="110" spans="1:11" ht="19.5" customHeight="1">
      <c r="A110" s="35"/>
      <c r="B110" s="62"/>
      <c r="C110" s="62"/>
      <c r="D110" s="29"/>
      <c r="E110" s="29"/>
      <c r="F110" s="29"/>
      <c r="G110" s="29"/>
      <c r="H110" s="29"/>
      <c r="I110" s="29"/>
      <c r="J110" s="173"/>
      <c r="K110" s="173"/>
    </row>
    <row r="111" spans="1:11" ht="19.5" customHeight="1">
      <c r="A111" s="35"/>
      <c r="B111" s="62"/>
      <c r="C111" s="62"/>
      <c r="D111" s="29"/>
      <c r="E111" s="29"/>
      <c r="F111" s="29"/>
      <c r="G111" s="29"/>
      <c r="H111" s="29"/>
      <c r="I111" s="29"/>
      <c r="J111" s="173"/>
      <c r="K111" s="173"/>
    </row>
    <row r="112" spans="1:11" ht="19.5" customHeight="1">
      <c r="A112" s="35"/>
      <c r="B112" s="62"/>
      <c r="C112" s="62"/>
      <c r="D112" s="29"/>
      <c r="E112" s="29"/>
      <c r="F112" s="29"/>
      <c r="G112" s="29"/>
      <c r="H112" s="29"/>
      <c r="I112" s="29"/>
      <c r="J112" s="173"/>
      <c r="K112" s="173"/>
    </row>
    <row r="113" spans="1:22" ht="19.5" customHeight="1">
      <c r="A113" s="35"/>
      <c r="B113" s="62"/>
      <c r="C113" s="62"/>
      <c r="D113" s="29"/>
      <c r="E113" s="29"/>
      <c r="F113" s="29"/>
      <c r="G113" s="29"/>
      <c r="H113" s="29"/>
      <c r="I113" s="29"/>
      <c r="J113" s="173"/>
      <c r="K113" s="173"/>
    </row>
    <row r="114" spans="1:22" ht="19.5" customHeight="1">
      <c r="A114" s="35"/>
      <c r="B114" s="62"/>
      <c r="C114" s="62"/>
      <c r="D114" s="29"/>
      <c r="E114" s="29"/>
      <c r="F114" s="29"/>
      <c r="G114" s="29"/>
      <c r="H114" s="29"/>
      <c r="I114" s="29"/>
      <c r="J114" s="173"/>
      <c r="K114" s="173"/>
    </row>
    <row r="115" spans="1:22" ht="19.5" customHeight="1">
      <c r="A115" s="35"/>
      <c r="B115" s="62"/>
      <c r="C115" s="62"/>
      <c r="D115" s="29"/>
      <c r="E115" s="29"/>
      <c r="F115" s="29"/>
      <c r="G115" s="29"/>
      <c r="H115" s="29"/>
      <c r="I115" s="29"/>
      <c r="J115" s="173"/>
      <c r="K115" s="173"/>
    </row>
    <row r="116" spans="1:22" ht="19.5" customHeight="1">
      <c r="A116" s="35"/>
      <c r="B116" s="62"/>
      <c r="C116" s="62"/>
      <c r="D116" s="29"/>
      <c r="E116" s="29"/>
      <c r="F116" s="29"/>
      <c r="G116" s="29"/>
      <c r="H116" s="29"/>
      <c r="I116" s="29"/>
      <c r="J116" s="173"/>
      <c r="K116" s="173"/>
    </row>
    <row r="117" spans="1:22" ht="19.5" customHeight="1">
      <c r="A117" s="35"/>
      <c r="B117" s="62"/>
      <c r="C117" s="62"/>
      <c r="D117" s="29"/>
      <c r="E117" s="29"/>
      <c r="F117" s="29"/>
      <c r="G117" s="29"/>
      <c r="H117" s="29"/>
      <c r="I117" s="29"/>
      <c r="J117" s="173"/>
      <c r="K117" s="173"/>
    </row>
    <row r="118" spans="1:22" ht="19.5" customHeight="1">
      <c r="A118" s="35"/>
      <c r="B118" s="62"/>
      <c r="C118" s="62"/>
      <c r="D118" s="29"/>
      <c r="E118" s="29"/>
      <c r="F118" s="29"/>
      <c r="G118" s="29"/>
      <c r="H118" s="29"/>
      <c r="I118" s="29"/>
      <c r="J118" s="173"/>
      <c r="K118" s="173"/>
    </row>
    <row r="119" spans="1:22" ht="19.5" customHeight="1">
      <c r="A119" s="35"/>
      <c r="B119" s="62"/>
      <c r="C119" s="62"/>
      <c r="D119" s="29"/>
      <c r="E119" s="29"/>
      <c r="F119" s="29"/>
      <c r="G119" s="29"/>
      <c r="H119" s="29"/>
      <c r="I119" s="29"/>
      <c r="J119" s="173"/>
      <c r="K119" s="173"/>
    </row>
    <row r="120" spans="1:22" ht="19.5" customHeight="1">
      <c r="A120" s="35"/>
      <c r="B120" s="62"/>
      <c r="C120" s="62"/>
      <c r="D120" s="29"/>
      <c r="E120" s="29"/>
      <c r="F120" s="29"/>
      <c r="G120" s="29"/>
      <c r="H120" s="29"/>
      <c r="I120" s="29"/>
      <c r="J120" s="173"/>
      <c r="K120" s="173"/>
    </row>
    <row r="121" spans="1:22" ht="19.5" customHeight="1">
      <c r="A121" s="35"/>
      <c r="B121" s="62"/>
      <c r="C121" s="62"/>
      <c r="D121" s="29"/>
      <c r="E121" s="29"/>
      <c r="F121" s="29"/>
      <c r="G121" s="29"/>
      <c r="H121" s="29"/>
      <c r="I121" s="29"/>
      <c r="J121" s="173"/>
      <c r="K121" s="173"/>
    </row>
    <row r="122" spans="1:22" ht="19.5" customHeight="1">
      <c r="A122" s="35"/>
      <c r="B122" s="62"/>
      <c r="C122" s="62"/>
      <c r="D122" s="29"/>
      <c r="E122" s="29"/>
      <c r="F122" s="29"/>
      <c r="G122" s="29"/>
      <c r="H122" s="29"/>
      <c r="I122" s="29"/>
      <c r="J122" s="173"/>
      <c r="K122" s="173"/>
    </row>
    <row r="123" spans="1:22" ht="13.8">
      <c r="A123" s="65" t="s">
        <v>214</v>
      </c>
      <c r="U123" s="2" t="s">
        <v>412</v>
      </c>
    </row>
    <row r="124" spans="1:22">
      <c r="A124" s="65" t="s">
        <v>326</v>
      </c>
    </row>
    <row r="126" spans="1:22">
      <c r="A126" s="727" t="s">
        <v>143</v>
      </c>
      <c r="B126" s="727"/>
      <c r="C126" s="727"/>
      <c r="D126" s="727"/>
      <c r="E126" s="727"/>
      <c r="F126" s="727"/>
      <c r="G126" s="727"/>
      <c r="H126" s="727"/>
      <c r="I126" s="727"/>
      <c r="J126" s="701"/>
      <c r="K126" s="701"/>
      <c r="L126" s="701"/>
      <c r="M126" s="701"/>
      <c r="N126" s="701"/>
      <c r="O126" s="701"/>
      <c r="P126" s="701"/>
      <c r="Q126" s="701"/>
      <c r="R126" s="701"/>
      <c r="S126" s="701"/>
      <c r="T126" s="701"/>
      <c r="U126" s="701"/>
      <c r="V126" s="701"/>
    </row>
    <row r="127" spans="1:22">
      <c r="A127" s="463"/>
      <c r="B127" s="463"/>
      <c r="C127" s="463"/>
      <c r="D127" s="463"/>
      <c r="E127" s="463"/>
      <c r="F127" s="463"/>
      <c r="G127" s="463"/>
      <c r="H127" s="463"/>
      <c r="I127" s="463"/>
      <c r="J127" s="464"/>
      <c r="K127" s="501">
        <v>41455</v>
      </c>
      <c r="L127" s="464"/>
      <c r="M127" s="464"/>
      <c r="N127" s="464"/>
      <c r="O127" s="464"/>
      <c r="P127" s="464"/>
      <c r="Q127" s="464"/>
      <c r="R127" s="464"/>
      <c r="S127" s="464"/>
      <c r="T127" s="464"/>
      <c r="U127" s="464"/>
      <c r="V127" s="464"/>
    </row>
    <row r="128" spans="1:22" ht="16.5" customHeight="1">
      <c r="V128" s="3" t="s">
        <v>0</v>
      </c>
    </row>
    <row r="129" spans="1:31" ht="27.75" customHeight="1">
      <c r="A129" s="97"/>
      <c r="B129" s="951" t="s">
        <v>328</v>
      </c>
      <c r="C129" s="952"/>
      <c r="D129" s="952"/>
      <c r="E129" s="952"/>
      <c r="F129" s="952"/>
      <c r="G129" s="952"/>
      <c r="H129" s="952"/>
      <c r="I129" s="952"/>
      <c r="J129" s="884"/>
      <c r="K129" s="942" t="s">
        <v>203</v>
      </c>
      <c r="L129" s="943"/>
      <c r="M129" s="943"/>
      <c r="N129" s="943"/>
      <c r="O129" s="943"/>
      <c r="P129" s="889"/>
      <c r="Q129" s="942" t="s">
        <v>329</v>
      </c>
      <c r="R129" s="943"/>
      <c r="S129" s="943"/>
      <c r="T129" s="943"/>
      <c r="U129" s="943"/>
      <c r="V129" s="889"/>
    </row>
    <row r="130" spans="1:31" ht="24" customHeight="1">
      <c r="A130" s="950" t="s">
        <v>2</v>
      </c>
      <c r="B130" s="953" t="s">
        <v>549</v>
      </c>
      <c r="C130" s="954"/>
      <c r="D130" s="955"/>
      <c r="E130" s="942" t="s">
        <v>545</v>
      </c>
      <c r="F130" s="943"/>
      <c r="G130" s="889"/>
      <c r="H130" s="942" t="s">
        <v>546</v>
      </c>
      <c r="I130" s="943"/>
      <c r="J130" s="889"/>
      <c r="K130" s="942" t="s">
        <v>545</v>
      </c>
      <c r="L130" s="943"/>
      <c r="M130" s="889"/>
      <c r="N130" s="942" t="s">
        <v>546</v>
      </c>
      <c r="O130" s="943"/>
      <c r="P130" s="889"/>
      <c r="Q130" s="942" t="s">
        <v>545</v>
      </c>
      <c r="R130" s="943"/>
      <c r="S130" s="889"/>
      <c r="T130" s="942" t="s">
        <v>546</v>
      </c>
      <c r="U130" s="943"/>
      <c r="V130" s="889"/>
    </row>
    <row r="131" spans="1:31" ht="37.200000000000003" customHeight="1">
      <c r="A131" s="950"/>
      <c r="B131" s="265" t="s">
        <v>231</v>
      </c>
      <c r="C131" s="265" t="s">
        <v>525</v>
      </c>
      <c r="D131" s="265" t="s">
        <v>743</v>
      </c>
      <c r="E131" s="265" t="s">
        <v>231</v>
      </c>
      <c r="F131" s="265" t="s">
        <v>525</v>
      </c>
      <c r="G131" s="265" t="s">
        <v>743</v>
      </c>
      <c r="H131" s="265" t="s">
        <v>231</v>
      </c>
      <c r="I131" s="265" t="s">
        <v>525</v>
      </c>
      <c r="J131" s="265" t="s">
        <v>743</v>
      </c>
      <c r="K131" s="265" t="s">
        <v>231</v>
      </c>
      <c r="L131" s="265" t="s">
        <v>525</v>
      </c>
      <c r="M131" s="265" t="s">
        <v>743</v>
      </c>
      <c r="N131" s="265" t="s">
        <v>231</v>
      </c>
      <c r="O131" s="265" t="s">
        <v>525</v>
      </c>
      <c r="P131" s="265" t="s">
        <v>743</v>
      </c>
      <c r="Q131" s="265" t="s">
        <v>231</v>
      </c>
      <c r="R131" s="265" t="s">
        <v>525</v>
      </c>
      <c r="S131" s="265" t="s">
        <v>743</v>
      </c>
      <c r="T131" s="265" t="s">
        <v>231</v>
      </c>
      <c r="U131" s="265" t="s">
        <v>525</v>
      </c>
      <c r="V131" s="265" t="s">
        <v>743</v>
      </c>
      <c r="AA131" s="29"/>
    </row>
    <row r="132" spans="1:31" ht="20.25" customHeight="1">
      <c r="A132" s="97" t="s">
        <v>3</v>
      </c>
      <c r="B132" s="31">
        <v>62104.749666666685</v>
      </c>
      <c r="C132" s="31">
        <v>60709.749666666685</v>
      </c>
      <c r="D132" s="31">
        <v>48513</v>
      </c>
      <c r="E132" s="31">
        <f>+K132+Q132+B152+H152+T152+N152</f>
        <v>107119.5833333333</v>
      </c>
      <c r="F132" s="31">
        <f>+L132+R132+C152+I152+U152+O152</f>
        <v>114214.5833333333</v>
      </c>
      <c r="G132" s="31">
        <f>+M132+S132+D152+J152+P152+V152</f>
        <v>98916</v>
      </c>
      <c r="H132" s="31">
        <f>+N132+T132+E152+K152+Q152+W152</f>
        <v>169224.33299999998</v>
      </c>
      <c r="I132" s="31">
        <f>+O132+U132+F152+L152+R152+X152</f>
        <v>174924.33299999998</v>
      </c>
      <c r="J132" s="31">
        <f>+P132+V132+G152+M152+S152+Y152</f>
        <v>160528</v>
      </c>
      <c r="K132" s="31">
        <v>85323</v>
      </c>
      <c r="L132" s="31">
        <v>92418</v>
      </c>
      <c r="M132" s="31">
        <v>62874</v>
      </c>
      <c r="N132" s="31">
        <v>95238</v>
      </c>
      <c r="O132" s="31">
        <v>101993</v>
      </c>
      <c r="P132" s="31">
        <v>84650</v>
      </c>
      <c r="Q132" s="31">
        <v>6487</v>
      </c>
      <c r="R132" s="31">
        <v>6487</v>
      </c>
      <c r="S132" s="31">
        <v>4922</v>
      </c>
      <c r="T132" s="31">
        <v>43423.332999999999</v>
      </c>
      <c r="U132" s="31">
        <v>43423.332999999999</v>
      </c>
      <c r="V132" s="31">
        <v>36653</v>
      </c>
      <c r="W132" s="62"/>
      <c r="X132" s="62"/>
      <c r="Y132" s="62"/>
      <c r="Z132" s="62"/>
      <c r="AA132" s="62"/>
      <c r="AB132" s="66">
        <f>+P132-M132+V132-S132+G152-D152+M152-J152+S152-P152+B81</f>
        <v>75375</v>
      </c>
      <c r="AC132" s="66"/>
      <c r="AD132" s="66"/>
    </row>
    <row r="133" spans="1:31" ht="20.25" customHeight="1">
      <c r="A133" s="97" t="s">
        <v>4</v>
      </c>
      <c r="B133" s="31">
        <v>92420.749666666685</v>
      </c>
      <c r="C133" s="31">
        <v>97289.749666666685</v>
      </c>
      <c r="D133" s="31">
        <v>94020</v>
      </c>
      <c r="E133" s="31">
        <f t="shared" ref="E133:F143" si="70">+K133+Q133+B153+H153+T153+N153</f>
        <v>78861.583333333299</v>
      </c>
      <c r="F133" s="31">
        <f t="shared" si="70"/>
        <v>86451.583333333299</v>
      </c>
      <c r="G133" s="31">
        <f t="shared" ref="G133:G143" si="71">+M133+S133+D153+J153+P153+V153</f>
        <v>53401</v>
      </c>
      <c r="H133" s="31">
        <f t="shared" ref="H133:I143" si="72">+N133+T133+E153+K153+Q153+W153</f>
        <v>171282.33299999998</v>
      </c>
      <c r="I133" s="31">
        <f t="shared" si="72"/>
        <v>183741.33299999998</v>
      </c>
      <c r="J133" s="31">
        <f t="shared" ref="J133:J143" si="73">+P133+V133+G153+M153+S153+Y153</f>
        <v>146537</v>
      </c>
      <c r="K133" s="31">
        <v>57665</v>
      </c>
      <c r="L133" s="31">
        <v>64755</v>
      </c>
      <c r="M133" s="31">
        <v>35834</v>
      </c>
      <c r="N133" s="31">
        <v>95238</v>
      </c>
      <c r="O133" s="31">
        <v>108753</v>
      </c>
      <c r="P133" s="31">
        <v>85296</v>
      </c>
      <c r="Q133" s="31">
        <v>7689</v>
      </c>
      <c r="R133" s="31">
        <v>8189</v>
      </c>
      <c r="S133" s="31">
        <v>6630</v>
      </c>
      <c r="T133" s="31">
        <v>43723.332999999999</v>
      </c>
      <c r="U133" s="31">
        <v>43723.332999999999</v>
      </c>
      <c r="V133" s="31">
        <v>33204</v>
      </c>
      <c r="W133" s="62"/>
      <c r="X133" s="62"/>
      <c r="Y133" s="62"/>
      <c r="Z133" s="62"/>
      <c r="AA133" s="62"/>
      <c r="AB133" s="66">
        <f>+P133-M133+V133-S133+G153-D153+M153-J153+S153-P153+7904+B82</f>
        <v>109780</v>
      </c>
      <c r="AC133" s="66"/>
      <c r="AD133" s="66"/>
    </row>
    <row r="134" spans="1:31" ht="20.25" customHeight="1">
      <c r="A134" s="97" t="s">
        <v>5</v>
      </c>
      <c r="B134" s="31">
        <v>103784.74966666668</v>
      </c>
      <c r="C134" s="31">
        <v>120163.74966666668</v>
      </c>
      <c r="D134" s="31">
        <v>162502</v>
      </c>
      <c r="E134" s="31">
        <f t="shared" si="70"/>
        <v>67997.583333333299</v>
      </c>
      <c r="F134" s="31">
        <f t="shared" si="70"/>
        <v>75592.583333333299</v>
      </c>
      <c r="G134" s="31">
        <f t="shared" si="71"/>
        <v>79583</v>
      </c>
      <c r="H134" s="31">
        <f t="shared" si="72"/>
        <v>171782.33299999998</v>
      </c>
      <c r="I134" s="31">
        <f t="shared" si="72"/>
        <v>195756.33299999998</v>
      </c>
      <c r="J134" s="31">
        <f t="shared" si="73"/>
        <v>240622</v>
      </c>
      <c r="K134" s="31">
        <v>47665</v>
      </c>
      <c r="L134" s="31">
        <v>54760</v>
      </c>
      <c r="M134" s="31">
        <v>69866</v>
      </c>
      <c r="N134" s="31">
        <v>95238</v>
      </c>
      <c r="O134" s="31">
        <v>120267</v>
      </c>
      <c r="P134" s="31">
        <v>139607</v>
      </c>
      <c r="Q134" s="31">
        <v>7159</v>
      </c>
      <c r="R134" s="31">
        <v>7659</v>
      </c>
      <c r="S134" s="31">
        <v>7901</v>
      </c>
      <c r="T134" s="31">
        <v>43723.332999999999</v>
      </c>
      <c r="U134" s="31">
        <v>43723.332999999999</v>
      </c>
      <c r="V134" s="31">
        <v>67817</v>
      </c>
      <c r="W134" s="62"/>
      <c r="X134" s="62"/>
      <c r="Y134" s="62"/>
      <c r="Z134" s="62"/>
      <c r="AA134" s="62"/>
      <c r="AB134" s="66">
        <f>+P134-M134+V134-S134+G154-D154+M154-J154+S154-P154+11673+B83</f>
        <v>227085</v>
      </c>
      <c r="AC134" s="66"/>
      <c r="AD134" s="66"/>
    </row>
    <row r="135" spans="1:31" ht="20.25" customHeight="1">
      <c r="A135" s="97" t="s">
        <v>6</v>
      </c>
      <c r="B135" s="31">
        <v>53012.749666666685</v>
      </c>
      <c r="C135" s="31">
        <v>57635.749666666685</v>
      </c>
      <c r="D135" s="31">
        <v>40522</v>
      </c>
      <c r="E135" s="31">
        <f t="shared" si="70"/>
        <v>118319.5833333333</v>
      </c>
      <c r="F135" s="31">
        <f t="shared" si="70"/>
        <v>125914.5833333333</v>
      </c>
      <c r="G135" s="31">
        <f t="shared" si="71"/>
        <v>90947</v>
      </c>
      <c r="H135" s="31">
        <f t="shared" si="72"/>
        <v>171332.33299999998</v>
      </c>
      <c r="I135" s="31">
        <f t="shared" si="72"/>
        <v>183550.33299999998</v>
      </c>
      <c r="J135" s="31">
        <f t="shared" si="73"/>
        <v>129513</v>
      </c>
      <c r="K135" s="31">
        <v>95330</v>
      </c>
      <c r="L135" s="31">
        <v>102425</v>
      </c>
      <c r="M135" s="31">
        <v>68011</v>
      </c>
      <c r="N135" s="31">
        <v>95238</v>
      </c>
      <c r="O135" s="31">
        <v>108512</v>
      </c>
      <c r="P135" s="31">
        <v>77145</v>
      </c>
      <c r="Q135" s="31">
        <v>8600</v>
      </c>
      <c r="R135" s="31">
        <v>9100</v>
      </c>
      <c r="S135" s="31">
        <v>5990</v>
      </c>
      <c r="T135" s="31">
        <v>43023.332999999999</v>
      </c>
      <c r="U135" s="31">
        <v>43023.332999999999</v>
      </c>
      <c r="V135" s="31">
        <v>24146</v>
      </c>
      <c r="W135" s="62"/>
      <c r="X135" s="62"/>
      <c r="Y135" s="62"/>
      <c r="Z135" s="62"/>
      <c r="AA135" s="62"/>
      <c r="AB135" s="66">
        <f>+P135-M135+V135-S135+G155-D155+M155-J155+S155-P155+4276+B84</f>
        <v>92611</v>
      </c>
      <c r="AC135" s="66"/>
      <c r="AD135" s="66"/>
    </row>
    <row r="136" spans="1:31" ht="20.25" customHeight="1">
      <c r="A136" s="97" t="s">
        <v>7</v>
      </c>
      <c r="B136" s="31">
        <v>101383.74966666668</v>
      </c>
      <c r="C136" s="31">
        <v>106012.74966666668</v>
      </c>
      <c r="D136" s="31">
        <v>103530</v>
      </c>
      <c r="E136" s="31">
        <f t="shared" si="70"/>
        <v>69630.583333333299</v>
      </c>
      <c r="F136" s="31">
        <f t="shared" si="70"/>
        <v>77220.583333333299</v>
      </c>
      <c r="G136" s="31">
        <f t="shared" si="71"/>
        <v>83160</v>
      </c>
      <c r="H136" s="31">
        <f t="shared" si="72"/>
        <v>171014.33299999998</v>
      </c>
      <c r="I136" s="31">
        <f t="shared" si="72"/>
        <v>183233.33299999998</v>
      </c>
      <c r="J136" s="31">
        <f t="shared" si="73"/>
        <v>185113</v>
      </c>
      <c r="K136" s="31">
        <v>47665</v>
      </c>
      <c r="L136" s="31">
        <v>54755</v>
      </c>
      <c r="M136" s="31">
        <v>64369</v>
      </c>
      <c r="N136" s="31">
        <v>95238</v>
      </c>
      <c r="O136" s="31">
        <v>108512</v>
      </c>
      <c r="P136" s="31">
        <v>112735</v>
      </c>
      <c r="Q136" s="31">
        <v>8600</v>
      </c>
      <c r="R136" s="31">
        <v>9100</v>
      </c>
      <c r="S136" s="31">
        <v>5531</v>
      </c>
      <c r="T136" s="31">
        <v>43055.332999999999</v>
      </c>
      <c r="U136" s="31">
        <v>43055.332999999999</v>
      </c>
      <c r="V136" s="31">
        <v>40031</v>
      </c>
      <c r="W136" s="62"/>
      <c r="X136" s="62"/>
      <c r="Y136" s="62"/>
      <c r="Z136" s="62"/>
      <c r="AA136" s="62"/>
      <c r="AB136" s="66">
        <f>+P136-M136+V136-S136+G156-D156+M156-J156+S156-P156+7776+B85</f>
        <v>133913</v>
      </c>
      <c r="AC136" s="66"/>
      <c r="AD136" s="66"/>
    </row>
    <row r="137" spans="1:31" ht="20.25" customHeight="1">
      <c r="A137" s="97" t="s">
        <v>8</v>
      </c>
      <c r="B137" s="31">
        <v>106082.74966666668</v>
      </c>
      <c r="C137" s="31">
        <v>108115.74966666668</v>
      </c>
      <c r="D137" s="31">
        <v>154875</v>
      </c>
      <c r="E137" s="31">
        <f t="shared" si="70"/>
        <v>68002.583333333299</v>
      </c>
      <c r="F137" s="31">
        <f t="shared" si="70"/>
        <v>74913.583333333299</v>
      </c>
      <c r="G137" s="31">
        <f t="shared" si="71"/>
        <v>143084</v>
      </c>
      <c r="H137" s="31">
        <f t="shared" si="72"/>
        <v>174085.33299999998</v>
      </c>
      <c r="I137" s="31">
        <f t="shared" si="72"/>
        <v>183029.33299999998</v>
      </c>
      <c r="J137" s="31">
        <f t="shared" si="73"/>
        <v>282057</v>
      </c>
      <c r="K137" s="31">
        <v>47665</v>
      </c>
      <c r="L137" s="31">
        <v>54765</v>
      </c>
      <c r="M137" s="31">
        <v>111225</v>
      </c>
      <c r="N137" s="31">
        <v>95238</v>
      </c>
      <c r="O137" s="31">
        <v>105238</v>
      </c>
      <c r="P137" s="31">
        <v>156399</v>
      </c>
      <c r="Q137" s="31">
        <v>7159</v>
      </c>
      <c r="R137" s="31">
        <v>7159</v>
      </c>
      <c r="S137" s="31">
        <v>21342</v>
      </c>
      <c r="T137" s="31">
        <v>44344.332999999999</v>
      </c>
      <c r="U137" s="31">
        <v>44344.332999999999</v>
      </c>
      <c r="V137" s="31">
        <v>74201</v>
      </c>
      <c r="W137" s="62"/>
      <c r="X137" s="62"/>
      <c r="Y137" s="62"/>
      <c r="Z137" s="62"/>
      <c r="AA137" s="62"/>
      <c r="AB137" s="66">
        <f>+P137-M137+V137-S137+G157-D157+M157-J157+S157-P157+18584+B86</f>
        <v>169441</v>
      </c>
      <c r="AC137" s="66"/>
      <c r="AD137" s="66"/>
    </row>
    <row r="138" spans="1:31" ht="20.25" customHeight="1">
      <c r="A138" s="97" t="s">
        <v>9</v>
      </c>
      <c r="B138" s="31">
        <v>68600.749666666685</v>
      </c>
      <c r="C138" s="31">
        <v>81711.749666666685</v>
      </c>
      <c r="D138" s="31">
        <f t="shared" ref="D133:D143" si="74">+J138-G138</f>
        <v>0</v>
      </c>
      <c r="E138" s="31">
        <f t="shared" si="70"/>
        <v>109781.5833333333</v>
      </c>
      <c r="F138" s="31">
        <f t="shared" si="70"/>
        <v>95681.583333333299</v>
      </c>
      <c r="G138" s="31">
        <f t="shared" si="71"/>
        <v>0</v>
      </c>
      <c r="H138" s="31">
        <f t="shared" si="72"/>
        <v>178382.33299999998</v>
      </c>
      <c r="I138" s="31">
        <f t="shared" si="72"/>
        <v>177393.33299999998</v>
      </c>
      <c r="J138" s="31">
        <f t="shared" si="73"/>
        <v>0</v>
      </c>
      <c r="K138" s="31">
        <v>95330</v>
      </c>
      <c r="L138" s="31">
        <v>81130</v>
      </c>
      <c r="M138" s="31"/>
      <c r="N138" s="31">
        <v>95238</v>
      </c>
      <c r="O138" s="31">
        <v>91723</v>
      </c>
      <c r="P138" s="31"/>
      <c r="Q138" s="31">
        <v>0</v>
      </c>
      <c r="R138" s="31">
        <v>0</v>
      </c>
      <c r="S138" s="31"/>
      <c r="T138" s="31">
        <v>43423.332999999999</v>
      </c>
      <c r="U138" s="31">
        <v>43423.332999999999</v>
      </c>
      <c r="V138" s="31"/>
      <c r="W138" s="62"/>
      <c r="X138" s="62"/>
      <c r="Y138" s="62"/>
      <c r="Z138" s="62"/>
      <c r="AA138" s="29"/>
      <c r="AB138" s="66"/>
      <c r="AC138" s="66"/>
      <c r="AD138" s="66"/>
    </row>
    <row r="139" spans="1:31" ht="18" customHeight="1">
      <c r="A139" s="97" t="s">
        <v>10</v>
      </c>
      <c r="B139" s="31">
        <v>107571.74966666668</v>
      </c>
      <c r="C139" s="31">
        <v>103961.74966666668</v>
      </c>
      <c r="D139" s="31">
        <f t="shared" si="74"/>
        <v>0</v>
      </c>
      <c r="E139" s="31">
        <f t="shared" si="70"/>
        <v>67131.583333333299</v>
      </c>
      <c r="F139" s="31">
        <f t="shared" si="70"/>
        <v>72140.583333333299</v>
      </c>
      <c r="G139" s="31">
        <f t="shared" si="71"/>
        <v>0</v>
      </c>
      <c r="H139" s="31">
        <f t="shared" si="72"/>
        <v>174703.33299999998</v>
      </c>
      <c r="I139" s="31">
        <f t="shared" si="72"/>
        <v>176102.33299999998</v>
      </c>
      <c r="J139" s="31">
        <f t="shared" si="73"/>
        <v>0</v>
      </c>
      <c r="K139" s="31">
        <v>47665</v>
      </c>
      <c r="L139" s="31">
        <v>52665</v>
      </c>
      <c r="M139" s="31"/>
      <c r="N139" s="31">
        <v>95238</v>
      </c>
      <c r="O139" s="31">
        <v>91723</v>
      </c>
      <c r="P139" s="31"/>
      <c r="Q139" s="31">
        <v>7800</v>
      </c>
      <c r="R139" s="31">
        <v>7800</v>
      </c>
      <c r="S139" s="31"/>
      <c r="T139" s="31">
        <v>44144.332999999999</v>
      </c>
      <c r="U139" s="31">
        <v>45264.332999999999</v>
      </c>
      <c r="V139" s="31"/>
      <c r="W139" s="62"/>
      <c r="X139" s="62"/>
      <c r="Y139" s="62"/>
      <c r="Z139" s="62"/>
      <c r="AA139" s="29"/>
      <c r="AB139" s="66"/>
      <c r="AC139" s="66"/>
      <c r="AD139" s="66"/>
    </row>
    <row r="140" spans="1:31" ht="20.25" customHeight="1">
      <c r="A140" s="97" t="s">
        <v>11</v>
      </c>
      <c r="B140" s="31">
        <v>113364.74966666668</v>
      </c>
      <c r="C140" s="31">
        <v>109638.74966666668</v>
      </c>
      <c r="D140" s="31">
        <f t="shared" si="74"/>
        <v>0</v>
      </c>
      <c r="E140" s="31">
        <f t="shared" si="70"/>
        <v>68648.583333333299</v>
      </c>
      <c r="F140" s="31">
        <f t="shared" si="70"/>
        <v>73713.583333333299</v>
      </c>
      <c r="G140" s="31">
        <f t="shared" si="71"/>
        <v>0</v>
      </c>
      <c r="H140" s="31">
        <f t="shared" si="72"/>
        <v>182013.33299999998</v>
      </c>
      <c r="I140" s="31">
        <f t="shared" si="72"/>
        <v>183352.33299999998</v>
      </c>
      <c r="J140" s="31">
        <f t="shared" si="73"/>
        <v>0</v>
      </c>
      <c r="K140" s="31">
        <v>47665</v>
      </c>
      <c r="L140" s="31">
        <v>52665</v>
      </c>
      <c r="M140" s="31"/>
      <c r="N140" s="31">
        <v>95238</v>
      </c>
      <c r="O140" s="31">
        <v>91723</v>
      </c>
      <c r="P140" s="31"/>
      <c r="Q140" s="31">
        <v>7806</v>
      </c>
      <c r="R140" s="31">
        <v>7806</v>
      </c>
      <c r="S140" s="31"/>
      <c r="T140" s="31">
        <v>43054.332999999999</v>
      </c>
      <c r="U140" s="31">
        <v>45542.332999999999</v>
      </c>
      <c r="V140" s="31"/>
      <c r="W140" s="62"/>
      <c r="X140" s="62"/>
      <c r="Y140" s="62"/>
      <c r="Z140" s="62"/>
      <c r="AA140" s="29"/>
      <c r="AB140" s="66"/>
      <c r="AC140" s="66"/>
      <c r="AD140" s="66"/>
    </row>
    <row r="141" spans="1:31" ht="20.25" customHeight="1">
      <c r="A141" s="97" t="s">
        <v>12</v>
      </c>
      <c r="B141" s="31">
        <v>54997.749666666685</v>
      </c>
      <c r="C141" s="31">
        <v>94595.749666666685</v>
      </c>
      <c r="D141" s="31">
        <f t="shared" si="74"/>
        <v>0</v>
      </c>
      <c r="E141" s="31">
        <f t="shared" si="70"/>
        <v>118615.5833333333</v>
      </c>
      <c r="F141" s="31">
        <f t="shared" si="70"/>
        <v>80216.583333333299</v>
      </c>
      <c r="G141" s="31">
        <f t="shared" si="71"/>
        <v>0</v>
      </c>
      <c r="H141" s="31">
        <f t="shared" si="72"/>
        <v>173613.33299999998</v>
      </c>
      <c r="I141" s="31">
        <f t="shared" si="72"/>
        <v>174812.33299999998</v>
      </c>
      <c r="J141" s="31">
        <f t="shared" si="73"/>
        <v>0</v>
      </c>
      <c r="K141" s="31">
        <v>95330</v>
      </c>
      <c r="L141" s="31">
        <v>57866</v>
      </c>
      <c r="M141" s="31"/>
      <c r="N141" s="31">
        <v>95238</v>
      </c>
      <c r="O141" s="31">
        <v>91723</v>
      </c>
      <c r="P141" s="31"/>
      <c r="Q141" s="31">
        <v>9200</v>
      </c>
      <c r="R141" s="31">
        <v>8200</v>
      </c>
      <c r="S141" s="31"/>
      <c r="T141" s="31">
        <v>43054.332999999999</v>
      </c>
      <c r="U141" s="31">
        <v>45542.332999999999</v>
      </c>
      <c r="V141" s="31"/>
      <c r="W141" s="62"/>
      <c r="X141" s="62"/>
      <c r="Y141" s="62"/>
      <c r="Z141" s="62"/>
      <c r="AA141" s="29"/>
      <c r="AB141" s="66"/>
      <c r="AC141" s="66"/>
      <c r="AD141" s="66"/>
    </row>
    <row r="142" spans="1:31" ht="20.25" customHeight="1">
      <c r="A142" s="97" t="s">
        <v>13</v>
      </c>
      <c r="B142" s="31">
        <v>102132.74966666668</v>
      </c>
      <c r="C142" s="31">
        <v>99266.749666666685</v>
      </c>
      <c r="D142" s="31">
        <f t="shared" si="74"/>
        <v>0</v>
      </c>
      <c r="E142" s="31">
        <f t="shared" si="70"/>
        <v>70233.583333333299</v>
      </c>
      <c r="F142" s="31">
        <f t="shared" si="70"/>
        <v>74298.583333333299</v>
      </c>
      <c r="G142" s="31">
        <f t="shared" si="71"/>
        <v>0</v>
      </c>
      <c r="H142" s="31">
        <f t="shared" si="72"/>
        <v>172366.33299999998</v>
      </c>
      <c r="I142" s="31">
        <f t="shared" si="72"/>
        <v>173565.33299999998</v>
      </c>
      <c r="J142" s="31">
        <f t="shared" si="73"/>
        <v>0</v>
      </c>
      <c r="K142" s="31">
        <v>47665</v>
      </c>
      <c r="L142" s="31">
        <v>52665</v>
      </c>
      <c r="M142" s="31"/>
      <c r="N142" s="31">
        <v>95238</v>
      </c>
      <c r="O142" s="31">
        <v>91723</v>
      </c>
      <c r="P142" s="31"/>
      <c r="Q142" s="31">
        <v>9200</v>
      </c>
      <c r="R142" s="31">
        <v>8200</v>
      </c>
      <c r="S142" s="31"/>
      <c r="T142" s="31">
        <v>43057.332999999999</v>
      </c>
      <c r="U142" s="31">
        <v>45545.332999999999</v>
      </c>
      <c r="V142" s="31"/>
      <c r="W142" s="62"/>
      <c r="X142" s="62"/>
      <c r="Y142" s="62"/>
      <c r="Z142" s="62"/>
      <c r="AA142" s="29"/>
      <c r="AB142" s="66"/>
      <c r="AC142" s="66"/>
      <c r="AD142" s="66"/>
    </row>
    <row r="143" spans="1:31" ht="20.25" customHeight="1">
      <c r="A143" s="97" t="s">
        <v>14</v>
      </c>
      <c r="B143" s="31">
        <v>109731.74966666668</v>
      </c>
      <c r="C143" s="31">
        <v>106090.74966666668</v>
      </c>
      <c r="D143" s="31">
        <f t="shared" si="74"/>
        <v>0</v>
      </c>
      <c r="E143" s="31">
        <f t="shared" si="70"/>
        <v>68934.583333333299</v>
      </c>
      <c r="F143" s="31">
        <f t="shared" si="70"/>
        <v>73999.583333333299</v>
      </c>
      <c r="G143" s="31">
        <f t="shared" si="71"/>
        <v>0</v>
      </c>
      <c r="H143" s="31">
        <f t="shared" si="72"/>
        <v>178666.33299999998</v>
      </c>
      <c r="I143" s="31">
        <f t="shared" si="72"/>
        <v>180089.33299999998</v>
      </c>
      <c r="J143" s="31">
        <f t="shared" si="73"/>
        <v>0</v>
      </c>
      <c r="K143" s="31">
        <v>47665</v>
      </c>
      <c r="L143" s="31">
        <v>52665</v>
      </c>
      <c r="M143" s="31"/>
      <c r="N143" s="31">
        <v>95238</v>
      </c>
      <c r="O143" s="31">
        <v>91721</v>
      </c>
      <c r="P143" s="31"/>
      <c r="Q143" s="31">
        <v>7195</v>
      </c>
      <c r="R143" s="31">
        <v>7195</v>
      </c>
      <c r="S143" s="31"/>
      <c r="T143" s="31">
        <v>43054.332999999999</v>
      </c>
      <c r="U143" s="31">
        <v>45542.332999999999</v>
      </c>
      <c r="V143" s="31"/>
      <c r="W143" s="62"/>
      <c r="X143" s="62"/>
      <c r="Y143" s="62"/>
      <c r="Z143" s="62"/>
      <c r="AA143" s="29"/>
      <c r="AB143" s="66"/>
      <c r="AC143" s="66"/>
      <c r="AD143" s="66"/>
    </row>
    <row r="144" spans="1:31" ht="20.25" customHeight="1">
      <c r="A144" s="8" t="s">
        <v>15</v>
      </c>
      <c r="B144" s="37">
        <f>SUM(B132:B143)</f>
        <v>1075188.9960000003</v>
      </c>
      <c r="C144" s="37">
        <f>SUM(C132:C143)</f>
        <v>1145192.9960000005</v>
      </c>
      <c r="D144" s="37">
        <f>SUM(D132:D143)</f>
        <v>603962</v>
      </c>
      <c r="E144" s="37">
        <f>SUM(E132:E143)</f>
        <v>1013276.9999999994</v>
      </c>
      <c r="F144" s="37">
        <f t="shared" ref="F144:G144" si="75">SUM(F132:F143)</f>
        <v>1024357.9999999993</v>
      </c>
      <c r="G144" s="37">
        <f t="shared" si="75"/>
        <v>549091</v>
      </c>
      <c r="H144" s="37">
        <f>SUM(H132:H143)</f>
        <v>2088465.9960000003</v>
      </c>
      <c r="I144" s="37">
        <f t="shared" ref="I144:J144" si="76">SUM(I132:I143)</f>
        <v>2169549.9960000003</v>
      </c>
      <c r="J144" s="37">
        <f t="shared" si="76"/>
        <v>1144370</v>
      </c>
      <c r="K144" s="37">
        <f>SUM(K132:K143)</f>
        <v>762633</v>
      </c>
      <c r="L144" s="37">
        <f t="shared" ref="L144:M144" si="77">SUM(L132:L143)</f>
        <v>773534</v>
      </c>
      <c r="M144" s="37">
        <f t="shared" si="77"/>
        <v>412179</v>
      </c>
      <c r="N144" s="37">
        <f>SUM(N132:N143)</f>
        <v>1142856</v>
      </c>
      <c r="O144" s="37">
        <f t="shared" ref="O144:P144" si="78">SUM(O132:O143)</f>
        <v>1203611</v>
      </c>
      <c r="P144" s="37">
        <f t="shared" si="78"/>
        <v>655832</v>
      </c>
      <c r="Q144" s="37">
        <f t="shared" ref="Q144:AB144" si="79">SUM(Q132:Q143)</f>
        <v>86895</v>
      </c>
      <c r="R144" s="37">
        <f t="shared" si="79"/>
        <v>86895</v>
      </c>
      <c r="S144" s="37">
        <f t="shared" si="79"/>
        <v>52316</v>
      </c>
      <c r="T144" s="37">
        <f t="shared" si="79"/>
        <v>521080.99599999987</v>
      </c>
      <c r="U144" s="37">
        <f t="shared" si="79"/>
        <v>532152.99599999993</v>
      </c>
      <c r="V144" s="37">
        <f t="shared" si="79"/>
        <v>276052</v>
      </c>
      <c r="W144" s="988"/>
      <c r="X144" s="988"/>
      <c r="Y144" s="988"/>
      <c r="Z144" s="988"/>
      <c r="AA144" s="988"/>
      <c r="AB144" s="989">
        <f t="shared" si="79"/>
        <v>808205</v>
      </c>
      <c r="AC144" s="66"/>
      <c r="AE144" s="66"/>
    </row>
    <row r="145" spans="1:25">
      <c r="S145" s="66"/>
    </row>
    <row r="146" spans="1:25">
      <c r="F146" s="66"/>
      <c r="G146" s="66"/>
      <c r="O146" s="66"/>
      <c r="P146" s="66"/>
      <c r="V146" s="66"/>
    </row>
    <row r="147" spans="1:25">
      <c r="C147" s="66"/>
      <c r="E147" s="66"/>
      <c r="P147" s="66"/>
      <c r="S147" s="66"/>
      <c r="X147" s="66"/>
    </row>
    <row r="149" spans="1:25" ht="21" customHeight="1">
      <c r="A149" s="279"/>
      <c r="B149" s="942" t="s">
        <v>330</v>
      </c>
      <c r="C149" s="943"/>
      <c r="D149" s="943"/>
      <c r="E149" s="943"/>
      <c r="F149" s="943"/>
      <c r="G149" s="889"/>
      <c r="H149" s="942" t="s">
        <v>331</v>
      </c>
      <c r="I149" s="943"/>
      <c r="J149" s="943"/>
      <c r="K149" s="943"/>
      <c r="L149" s="943"/>
      <c r="M149" s="889"/>
      <c r="N149" s="942" t="s">
        <v>332</v>
      </c>
      <c r="O149" s="943"/>
      <c r="P149" s="943"/>
      <c r="Q149" s="943"/>
      <c r="R149" s="943"/>
      <c r="S149" s="889"/>
      <c r="T149" s="942" t="s">
        <v>498</v>
      </c>
      <c r="U149" s="943"/>
      <c r="V149" s="943"/>
      <c r="W149" s="943"/>
      <c r="X149" s="943"/>
      <c r="Y149" s="889"/>
    </row>
    <row r="150" spans="1:25" ht="21" customHeight="1">
      <c r="A150" s="950" t="s">
        <v>2</v>
      </c>
      <c r="B150" s="942" t="s">
        <v>545</v>
      </c>
      <c r="C150" s="943"/>
      <c r="D150" s="889"/>
      <c r="E150" s="942" t="s">
        <v>546</v>
      </c>
      <c r="F150" s="943"/>
      <c r="G150" s="889"/>
      <c r="H150" s="942" t="s">
        <v>545</v>
      </c>
      <c r="I150" s="943"/>
      <c r="J150" s="889"/>
      <c r="K150" s="942" t="s">
        <v>546</v>
      </c>
      <c r="L150" s="943"/>
      <c r="M150" s="889"/>
      <c r="N150" s="942" t="s">
        <v>545</v>
      </c>
      <c r="O150" s="943"/>
      <c r="P150" s="889"/>
      <c r="Q150" s="942" t="s">
        <v>546</v>
      </c>
      <c r="R150" s="943"/>
      <c r="S150" s="889"/>
      <c r="T150" s="942" t="s">
        <v>545</v>
      </c>
      <c r="U150" s="943"/>
      <c r="V150" s="889"/>
      <c r="W150" s="942" t="s">
        <v>546</v>
      </c>
      <c r="X150" s="943"/>
      <c r="Y150" s="889"/>
    </row>
    <row r="151" spans="1:25" ht="32.4" customHeight="1">
      <c r="A151" s="950"/>
      <c r="B151" s="502" t="s">
        <v>231</v>
      </c>
      <c r="C151" s="502" t="s">
        <v>525</v>
      </c>
      <c r="D151" s="502" t="s">
        <v>743</v>
      </c>
      <c r="E151" s="502" t="s">
        <v>231</v>
      </c>
      <c r="F151" s="502" t="s">
        <v>525</v>
      </c>
      <c r="G151" s="502" t="s">
        <v>743</v>
      </c>
      <c r="H151" s="502" t="s">
        <v>231</v>
      </c>
      <c r="I151" s="502" t="s">
        <v>525</v>
      </c>
      <c r="J151" s="502" t="s">
        <v>743</v>
      </c>
      <c r="K151" s="502" t="s">
        <v>231</v>
      </c>
      <c r="L151" s="502" t="s">
        <v>525</v>
      </c>
      <c r="M151" s="502" t="s">
        <v>743</v>
      </c>
      <c r="N151" s="502" t="s">
        <v>231</v>
      </c>
      <c r="O151" s="502" t="s">
        <v>525</v>
      </c>
      <c r="P151" s="502" t="s">
        <v>743</v>
      </c>
      <c r="Q151" s="502" t="s">
        <v>231</v>
      </c>
      <c r="R151" s="502" t="s">
        <v>525</v>
      </c>
      <c r="S151" s="502" t="s">
        <v>743</v>
      </c>
      <c r="T151" s="502" t="s">
        <v>231</v>
      </c>
      <c r="U151" s="502" t="s">
        <v>525</v>
      </c>
      <c r="V151" s="502" t="s">
        <v>743</v>
      </c>
      <c r="W151" s="502" t="s">
        <v>231</v>
      </c>
      <c r="X151" s="502" t="s">
        <v>525</v>
      </c>
      <c r="Y151" s="502" t="s">
        <v>743</v>
      </c>
    </row>
    <row r="152" spans="1:25" ht="21" customHeight="1">
      <c r="A152" s="279" t="s">
        <v>3</v>
      </c>
      <c r="B152" s="31">
        <v>2297</v>
      </c>
      <c r="C152" s="31">
        <v>2297</v>
      </c>
      <c r="D152" s="31">
        <v>1699</v>
      </c>
      <c r="E152" s="31">
        <v>9800</v>
      </c>
      <c r="F152" s="31">
        <v>9220</v>
      </c>
      <c r="G152" s="31">
        <v>7203</v>
      </c>
      <c r="H152" s="31">
        <v>60</v>
      </c>
      <c r="I152" s="31">
        <v>60</v>
      </c>
      <c r="J152" s="31">
        <v>57</v>
      </c>
      <c r="K152" s="31">
        <v>1300</v>
      </c>
      <c r="L152" s="31">
        <v>1325</v>
      </c>
      <c r="M152" s="31">
        <v>1035</v>
      </c>
      <c r="N152" s="31">
        <v>4176</v>
      </c>
      <c r="O152" s="31">
        <v>4176</v>
      </c>
      <c r="P152" s="31">
        <v>4151</v>
      </c>
      <c r="Q152" s="31">
        <v>8463</v>
      </c>
      <c r="R152" s="31">
        <v>7963</v>
      </c>
      <c r="S152" s="31">
        <v>8047</v>
      </c>
      <c r="T152" s="31">
        <v>8776.5833333332994</v>
      </c>
      <c r="U152" s="31">
        <v>8776.5833333332994</v>
      </c>
      <c r="V152" s="31">
        <f>25213</f>
        <v>25213</v>
      </c>
      <c r="W152" s="31">
        <v>11000</v>
      </c>
      <c r="X152" s="31">
        <v>11000</v>
      </c>
      <c r="Y152" s="31">
        <v>22940</v>
      </c>
    </row>
    <row r="153" spans="1:25" ht="21" customHeight="1">
      <c r="A153" s="279" t="s">
        <v>4</v>
      </c>
      <c r="B153" s="31">
        <v>2658</v>
      </c>
      <c r="C153" s="31">
        <v>2658</v>
      </c>
      <c r="D153" s="31">
        <v>1347</v>
      </c>
      <c r="E153" s="31">
        <v>9550</v>
      </c>
      <c r="F153" s="31">
        <v>8970</v>
      </c>
      <c r="G153" s="31">
        <v>6699</v>
      </c>
      <c r="H153" s="31">
        <v>61</v>
      </c>
      <c r="I153" s="31">
        <v>61</v>
      </c>
      <c r="J153" s="31">
        <v>106</v>
      </c>
      <c r="K153" s="31">
        <v>1300</v>
      </c>
      <c r="L153" s="31">
        <v>1324</v>
      </c>
      <c r="M153" s="31">
        <v>1045</v>
      </c>
      <c r="N153" s="31">
        <v>2012</v>
      </c>
      <c r="O153" s="31">
        <v>2012</v>
      </c>
      <c r="P153" s="31">
        <v>3508</v>
      </c>
      <c r="Q153" s="31">
        <v>9471</v>
      </c>
      <c r="R153" s="31">
        <v>8971</v>
      </c>
      <c r="S153" s="31">
        <v>7257</v>
      </c>
      <c r="T153" s="31">
        <v>8776.5833333332994</v>
      </c>
      <c r="U153" s="31">
        <v>8776.5833333332994</v>
      </c>
      <c r="V153" s="31">
        <f>13880-7904</f>
        <v>5976</v>
      </c>
      <c r="W153" s="31">
        <v>12000</v>
      </c>
      <c r="X153" s="31">
        <v>12000</v>
      </c>
      <c r="Y153" s="31">
        <v>13036</v>
      </c>
    </row>
    <row r="154" spans="1:25" ht="21" customHeight="1">
      <c r="A154" s="279" t="s">
        <v>5</v>
      </c>
      <c r="B154" s="31">
        <v>2305</v>
      </c>
      <c r="C154" s="31">
        <v>2305</v>
      </c>
      <c r="D154" s="31">
        <v>1936</v>
      </c>
      <c r="E154" s="31">
        <v>9550</v>
      </c>
      <c r="F154" s="31">
        <v>8970</v>
      </c>
      <c r="G154" s="31">
        <v>11665</v>
      </c>
      <c r="H154" s="31">
        <v>80</v>
      </c>
      <c r="I154" s="31">
        <v>80</v>
      </c>
      <c r="J154" s="31">
        <v>85</v>
      </c>
      <c r="K154" s="31">
        <v>1300</v>
      </c>
      <c r="L154" s="31">
        <v>1325</v>
      </c>
      <c r="M154" s="31">
        <v>2137</v>
      </c>
      <c r="N154" s="31">
        <v>2012</v>
      </c>
      <c r="O154" s="31">
        <v>2012</v>
      </c>
      <c r="P154" s="31">
        <v>1995</v>
      </c>
      <c r="Q154" s="31">
        <v>9471</v>
      </c>
      <c r="R154" s="31">
        <v>8971</v>
      </c>
      <c r="S154" s="31">
        <v>11366</v>
      </c>
      <c r="T154" s="31">
        <v>8776.5833333332994</v>
      </c>
      <c r="U154" s="31">
        <v>8776.5833333332994</v>
      </c>
      <c r="V154" s="31">
        <f>9473-11673</f>
        <v>-2200</v>
      </c>
      <c r="W154" s="31">
        <v>12500</v>
      </c>
      <c r="X154" s="31">
        <v>12500</v>
      </c>
      <c r="Y154" s="31">
        <v>8030</v>
      </c>
    </row>
    <row r="155" spans="1:25" ht="21" customHeight="1">
      <c r="A155" s="279" t="s">
        <v>6</v>
      </c>
      <c r="B155" s="31">
        <v>2597</v>
      </c>
      <c r="C155" s="31">
        <v>2597</v>
      </c>
      <c r="D155" s="31">
        <v>2565</v>
      </c>
      <c r="E155" s="31">
        <v>9550</v>
      </c>
      <c r="F155" s="31">
        <v>8970</v>
      </c>
      <c r="G155" s="31">
        <v>6532</v>
      </c>
      <c r="H155" s="31">
        <v>89</v>
      </c>
      <c r="I155" s="31">
        <v>89</v>
      </c>
      <c r="J155" s="31">
        <v>102</v>
      </c>
      <c r="K155" s="31">
        <v>1300</v>
      </c>
      <c r="L155" s="31">
        <v>1324</v>
      </c>
      <c r="M155" s="31">
        <v>702</v>
      </c>
      <c r="N155" s="31">
        <v>2927</v>
      </c>
      <c r="O155" s="31">
        <v>2927</v>
      </c>
      <c r="P155" s="31">
        <v>2228</v>
      </c>
      <c r="Q155" s="31">
        <v>10221</v>
      </c>
      <c r="R155" s="31">
        <v>9721</v>
      </c>
      <c r="S155" s="31">
        <v>6577</v>
      </c>
      <c r="T155" s="31">
        <v>8776.5833333332994</v>
      </c>
      <c r="U155" s="31">
        <v>8776.5833333332994</v>
      </c>
      <c r="V155" s="31">
        <f>16327-4276</f>
        <v>12051</v>
      </c>
      <c r="W155" s="31">
        <v>12000</v>
      </c>
      <c r="X155" s="31">
        <v>12000</v>
      </c>
      <c r="Y155" s="31">
        <v>14411</v>
      </c>
    </row>
    <row r="156" spans="1:25" ht="21" customHeight="1">
      <c r="A156" s="279" t="s">
        <v>7</v>
      </c>
      <c r="B156" s="31">
        <v>2297</v>
      </c>
      <c r="C156" s="31">
        <v>2297</v>
      </c>
      <c r="D156" s="31">
        <v>1891</v>
      </c>
      <c r="E156" s="31">
        <v>8950</v>
      </c>
      <c r="F156" s="31">
        <v>8370</v>
      </c>
      <c r="G156" s="31">
        <v>8617</v>
      </c>
      <c r="H156" s="31">
        <v>80</v>
      </c>
      <c r="I156" s="31">
        <v>80</v>
      </c>
      <c r="J156" s="31">
        <v>111</v>
      </c>
      <c r="K156" s="31">
        <v>1300</v>
      </c>
      <c r="L156" s="31">
        <v>1325</v>
      </c>
      <c r="M156" s="31">
        <v>1425</v>
      </c>
      <c r="N156" s="31">
        <v>2212</v>
      </c>
      <c r="O156" s="31">
        <v>2212</v>
      </c>
      <c r="P156" s="31">
        <v>1793</v>
      </c>
      <c r="Q156" s="31">
        <v>9471</v>
      </c>
      <c r="R156" s="31">
        <v>8971</v>
      </c>
      <c r="S156" s="31">
        <v>6601</v>
      </c>
      <c r="T156" s="31">
        <v>8776.5833333332994</v>
      </c>
      <c r="U156" s="31">
        <v>8776.5833333332994</v>
      </c>
      <c r="V156" s="31">
        <f>17241-7776</f>
        <v>9465</v>
      </c>
      <c r="W156" s="31">
        <v>13000</v>
      </c>
      <c r="X156" s="31">
        <v>13000</v>
      </c>
      <c r="Y156" s="31">
        <v>15704</v>
      </c>
    </row>
    <row r="157" spans="1:25" ht="21" customHeight="1">
      <c r="A157" s="279" t="s">
        <v>8</v>
      </c>
      <c r="B157" s="31">
        <v>2305</v>
      </c>
      <c r="C157" s="31">
        <v>2036</v>
      </c>
      <c r="D157" s="31">
        <v>4753</v>
      </c>
      <c r="E157" s="31">
        <v>8950</v>
      </c>
      <c r="F157" s="31">
        <v>8370</v>
      </c>
      <c r="G157" s="31">
        <v>14249</v>
      </c>
      <c r="H157" s="31">
        <v>85</v>
      </c>
      <c r="I157" s="31">
        <v>165</v>
      </c>
      <c r="J157" s="31">
        <v>173</v>
      </c>
      <c r="K157" s="31">
        <v>1300</v>
      </c>
      <c r="L157" s="31">
        <v>1324</v>
      </c>
      <c r="M157" s="31">
        <v>1868</v>
      </c>
      <c r="N157" s="31">
        <v>2012</v>
      </c>
      <c r="O157" s="31">
        <v>2012</v>
      </c>
      <c r="P157" s="31">
        <v>2297</v>
      </c>
      <c r="Q157" s="31">
        <v>10221</v>
      </c>
      <c r="R157" s="31">
        <v>9721</v>
      </c>
      <c r="S157" s="31">
        <v>16010</v>
      </c>
      <c r="T157" s="31">
        <v>8776.5833333332994</v>
      </c>
      <c r="U157" s="31">
        <v>8776.5833333332994</v>
      </c>
      <c r="V157" s="31">
        <f>21355+523-18584</f>
        <v>3294</v>
      </c>
      <c r="W157" s="31">
        <v>14032</v>
      </c>
      <c r="X157" s="31">
        <v>14032</v>
      </c>
      <c r="Y157" s="31">
        <f>18807+523</f>
        <v>19330</v>
      </c>
    </row>
    <row r="158" spans="1:25" ht="21" customHeight="1">
      <c r="A158" s="279" t="s">
        <v>9</v>
      </c>
      <c r="B158" s="31">
        <v>2658</v>
      </c>
      <c r="C158" s="31">
        <v>2658</v>
      </c>
      <c r="D158" s="31"/>
      <c r="E158" s="31">
        <v>8950</v>
      </c>
      <c r="F158" s="31">
        <v>8950</v>
      </c>
      <c r="G158" s="31"/>
      <c r="H158" s="31">
        <v>90</v>
      </c>
      <c r="I158" s="31">
        <v>190</v>
      </c>
      <c r="J158" s="31"/>
      <c r="K158" s="31">
        <v>1300</v>
      </c>
      <c r="L158" s="31">
        <v>1300</v>
      </c>
      <c r="M158" s="31"/>
      <c r="N158" s="31">
        <v>2927</v>
      </c>
      <c r="O158" s="31">
        <v>2927</v>
      </c>
      <c r="P158" s="31"/>
      <c r="Q158" s="31">
        <v>9471</v>
      </c>
      <c r="R158" s="31">
        <v>11821</v>
      </c>
      <c r="S158" s="31"/>
      <c r="T158" s="31">
        <v>8776.5833333332994</v>
      </c>
      <c r="U158" s="31">
        <v>8776.5833333332994</v>
      </c>
      <c r="V158" s="31"/>
      <c r="W158" s="31">
        <v>20000</v>
      </c>
      <c r="X158" s="31">
        <v>20176</v>
      </c>
      <c r="Y158" s="31"/>
    </row>
    <row r="159" spans="1:25" ht="21" customHeight="1">
      <c r="A159" s="279" t="s">
        <v>10</v>
      </c>
      <c r="B159" s="31">
        <v>788</v>
      </c>
      <c r="C159" s="31">
        <v>797</v>
      </c>
      <c r="D159" s="31"/>
      <c r="E159" s="31">
        <v>8800</v>
      </c>
      <c r="F159" s="31">
        <v>10967</v>
      </c>
      <c r="G159" s="31"/>
      <c r="H159" s="31">
        <v>90</v>
      </c>
      <c r="I159" s="31">
        <v>90</v>
      </c>
      <c r="J159" s="31"/>
      <c r="K159" s="31">
        <v>1300</v>
      </c>
      <c r="L159" s="31">
        <v>1390</v>
      </c>
      <c r="M159" s="31"/>
      <c r="N159" s="31">
        <v>2012</v>
      </c>
      <c r="O159" s="31">
        <v>2012</v>
      </c>
      <c r="P159" s="31"/>
      <c r="Q159" s="31">
        <v>10221</v>
      </c>
      <c r="R159" s="31">
        <v>11582</v>
      </c>
      <c r="S159" s="31"/>
      <c r="T159" s="31">
        <v>8776.5833333332994</v>
      </c>
      <c r="U159" s="31">
        <v>8776.5833333332994</v>
      </c>
      <c r="V159" s="31"/>
      <c r="W159" s="31">
        <v>15000</v>
      </c>
      <c r="X159" s="31">
        <v>15176</v>
      </c>
      <c r="Y159" s="31"/>
    </row>
    <row r="160" spans="1:25" ht="21" customHeight="1">
      <c r="A160" s="279" t="s">
        <v>11</v>
      </c>
      <c r="B160" s="31">
        <v>2297</v>
      </c>
      <c r="C160" s="31">
        <v>2362</v>
      </c>
      <c r="D160" s="31"/>
      <c r="E160" s="31">
        <v>8950</v>
      </c>
      <c r="F160" s="31">
        <v>11000</v>
      </c>
      <c r="G160" s="31"/>
      <c r="H160" s="31">
        <v>92</v>
      </c>
      <c r="I160" s="31">
        <v>92</v>
      </c>
      <c r="J160" s="31"/>
      <c r="K160" s="31">
        <v>1300</v>
      </c>
      <c r="L160" s="31">
        <v>1390</v>
      </c>
      <c r="M160" s="31"/>
      <c r="N160" s="31">
        <v>2012</v>
      </c>
      <c r="O160" s="31">
        <v>2012</v>
      </c>
      <c r="P160" s="31"/>
      <c r="Q160" s="31">
        <v>9471</v>
      </c>
      <c r="R160" s="31">
        <v>9521</v>
      </c>
      <c r="S160" s="31"/>
      <c r="T160" s="31">
        <v>8776.5833333332994</v>
      </c>
      <c r="U160" s="31">
        <v>8776.5833333332994</v>
      </c>
      <c r="V160" s="31"/>
      <c r="W160" s="31">
        <v>24000</v>
      </c>
      <c r="X160" s="31">
        <v>24176</v>
      </c>
      <c r="Y160" s="31"/>
    </row>
    <row r="161" spans="1:25" ht="21" customHeight="1">
      <c r="A161" s="279" t="s">
        <v>12</v>
      </c>
      <c r="B161" s="31">
        <v>2297</v>
      </c>
      <c r="C161" s="31">
        <v>2362</v>
      </c>
      <c r="D161" s="31"/>
      <c r="E161" s="31">
        <v>9550</v>
      </c>
      <c r="F161" s="31">
        <v>11600</v>
      </c>
      <c r="G161" s="31"/>
      <c r="H161" s="31">
        <v>85</v>
      </c>
      <c r="I161" s="31">
        <v>85</v>
      </c>
      <c r="J161" s="31"/>
      <c r="K161" s="31">
        <v>1300</v>
      </c>
      <c r="L161" s="31">
        <v>1300</v>
      </c>
      <c r="M161" s="31"/>
      <c r="N161" s="31">
        <v>2927</v>
      </c>
      <c r="O161" s="31">
        <v>2927</v>
      </c>
      <c r="P161" s="31"/>
      <c r="Q161" s="31">
        <v>9471</v>
      </c>
      <c r="R161" s="31">
        <v>9471</v>
      </c>
      <c r="S161" s="31"/>
      <c r="T161" s="31">
        <v>8776.5833333332994</v>
      </c>
      <c r="U161" s="31">
        <v>8776.5833333332994</v>
      </c>
      <c r="V161" s="31"/>
      <c r="W161" s="31">
        <v>15000</v>
      </c>
      <c r="X161" s="31">
        <v>15176</v>
      </c>
      <c r="Y161" s="31"/>
    </row>
    <row r="162" spans="1:25" ht="21" customHeight="1">
      <c r="A162" s="279" t="s">
        <v>13</v>
      </c>
      <c r="B162" s="31">
        <v>2297</v>
      </c>
      <c r="C162" s="31">
        <v>2362</v>
      </c>
      <c r="D162" s="31"/>
      <c r="E162" s="31">
        <v>9550</v>
      </c>
      <c r="F162" s="31">
        <v>11600</v>
      </c>
      <c r="G162" s="31"/>
      <c r="H162" s="31">
        <v>83</v>
      </c>
      <c r="I162" s="31">
        <v>83</v>
      </c>
      <c r="J162" s="31"/>
      <c r="K162" s="31">
        <v>1300</v>
      </c>
      <c r="L162" s="31">
        <v>1300</v>
      </c>
      <c r="M162" s="31"/>
      <c r="N162" s="31">
        <v>2212</v>
      </c>
      <c r="O162" s="31">
        <v>2212</v>
      </c>
      <c r="P162" s="31"/>
      <c r="Q162" s="31">
        <v>10221</v>
      </c>
      <c r="R162" s="31">
        <v>10221</v>
      </c>
      <c r="S162" s="31"/>
      <c r="T162" s="31">
        <v>8776.5833333332994</v>
      </c>
      <c r="U162" s="31">
        <v>8776.5833333332994</v>
      </c>
      <c r="V162" s="31"/>
      <c r="W162" s="31">
        <v>13000</v>
      </c>
      <c r="X162" s="31">
        <v>13176</v>
      </c>
      <c r="Y162" s="31"/>
    </row>
    <row r="163" spans="1:25" ht="21" customHeight="1">
      <c r="A163" s="279" t="s">
        <v>14</v>
      </c>
      <c r="B163" s="31">
        <v>2100</v>
      </c>
      <c r="C163" s="31">
        <v>2165</v>
      </c>
      <c r="D163" s="31"/>
      <c r="E163" s="31">
        <v>7600</v>
      </c>
      <c r="F163" s="31">
        <v>9650</v>
      </c>
      <c r="G163" s="31"/>
      <c r="H163" s="31">
        <v>85</v>
      </c>
      <c r="I163" s="31">
        <v>85</v>
      </c>
      <c r="J163" s="31"/>
      <c r="K163" s="31">
        <v>1295</v>
      </c>
      <c r="L163" s="31">
        <v>1521</v>
      </c>
      <c r="M163" s="31"/>
      <c r="N163" s="31">
        <v>3113</v>
      </c>
      <c r="O163" s="31">
        <v>3113</v>
      </c>
      <c r="P163" s="31"/>
      <c r="Q163" s="31">
        <v>9479</v>
      </c>
      <c r="R163" s="31">
        <v>9479</v>
      </c>
      <c r="S163" s="31"/>
      <c r="T163" s="31">
        <v>8776.5833333332994</v>
      </c>
      <c r="U163" s="31">
        <v>8776.5833333332994</v>
      </c>
      <c r="V163" s="31"/>
      <c r="W163" s="31">
        <v>22000</v>
      </c>
      <c r="X163" s="31">
        <v>22176</v>
      </c>
      <c r="Y163" s="31"/>
    </row>
    <row r="164" spans="1:25" ht="21" customHeight="1">
      <c r="A164" s="8" t="s">
        <v>15</v>
      </c>
      <c r="B164" s="37">
        <f t="shared" ref="B164:S164" si="80">SUM(B152:B163)</f>
        <v>26896</v>
      </c>
      <c r="C164" s="37">
        <f t="shared" si="80"/>
        <v>26896</v>
      </c>
      <c r="D164" s="37">
        <f t="shared" si="80"/>
        <v>14191</v>
      </c>
      <c r="E164" s="37">
        <f t="shared" si="80"/>
        <v>109750</v>
      </c>
      <c r="F164" s="37">
        <f t="shared" si="80"/>
        <v>116637</v>
      </c>
      <c r="G164" s="37">
        <f t="shared" si="80"/>
        <v>54965</v>
      </c>
      <c r="H164" s="37">
        <f t="shared" si="80"/>
        <v>980</v>
      </c>
      <c r="I164" s="37">
        <f t="shared" si="80"/>
        <v>1160</v>
      </c>
      <c r="J164" s="37">
        <f t="shared" si="80"/>
        <v>634</v>
      </c>
      <c r="K164" s="37">
        <f t="shared" si="80"/>
        <v>15595</v>
      </c>
      <c r="L164" s="37">
        <f t="shared" si="80"/>
        <v>16148</v>
      </c>
      <c r="M164" s="37">
        <f t="shared" si="80"/>
        <v>8212</v>
      </c>
      <c r="N164" s="37">
        <f t="shared" si="80"/>
        <v>30554</v>
      </c>
      <c r="O164" s="37">
        <f t="shared" si="80"/>
        <v>30554</v>
      </c>
      <c r="P164" s="37">
        <f t="shared" si="80"/>
        <v>15972</v>
      </c>
      <c r="Q164" s="37">
        <f t="shared" si="80"/>
        <v>115652</v>
      </c>
      <c r="R164" s="37">
        <f t="shared" si="80"/>
        <v>116413</v>
      </c>
      <c r="S164" s="37">
        <f t="shared" si="80"/>
        <v>55858</v>
      </c>
      <c r="T164" s="37">
        <f t="shared" ref="T164:W164" si="81">SUM(T152:T163)</f>
        <v>105318.99999999959</v>
      </c>
      <c r="U164" s="37">
        <f t="shared" si="81"/>
        <v>105318.99999999959</v>
      </c>
      <c r="V164" s="37">
        <f t="shared" si="81"/>
        <v>53799</v>
      </c>
      <c r="W164" s="37">
        <f t="shared" si="81"/>
        <v>183532</v>
      </c>
      <c r="X164" s="37">
        <f t="shared" ref="X164:Y164" si="82">SUM(X152:X163)</f>
        <v>184588</v>
      </c>
      <c r="Y164" s="37">
        <f t="shared" si="82"/>
        <v>93451</v>
      </c>
    </row>
    <row r="166" spans="1:25">
      <c r="D166" s="66"/>
    </row>
    <row r="167" spans="1:25">
      <c r="V167" s="66"/>
    </row>
    <row r="168" spans="1:25">
      <c r="P168" s="66"/>
      <c r="V168" s="66"/>
      <c r="Y168" s="66"/>
    </row>
    <row r="169" spans="1:25">
      <c r="D169" s="66"/>
      <c r="J169" s="66"/>
    </row>
  </sheetData>
  <mergeCells count="56">
    <mergeCell ref="A4:AA4"/>
    <mergeCell ref="A29:AA29"/>
    <mergeCell ref="A126:V126"/>
    <mergeCell ref="E32:G32"/>
    <mergeCell ref="H32:J32"/>
    <mergeCell ref="K32:M32"/>
    <mergeCell ref="N32:P32"/>
    <mergeCell ref="Q32:S32"/>
    <mergeCell ref="V32:X32"/>
    <mergeCell ref="Y32:AA32"/>
    <mergeCell ref="K7:M7"/>
    <mergeCell ref="N7:P7"/>
    <mergeCell ref="Q7:S7"/>
    <mergeCell ref="V7:X7"/>
    <mergeCell ref="Y7:AA7"/>
    <mergeCell ref="A7:A8"/>
    <mergeCell ref="A76:S76"/>
    <mergeCell ref="B129:J129"/>
    <mergeCell ref="B130:D130"/>
    <mergeCell ref="E130:G130"/>
    <mergeCell ref="H130:J130"/>
    <mergeCell ref="K129:P129"/>
    <mergeCell ref="K130:M130"/>
    <mergeCell ref="N130:P130"/>
    <mergeCell ref="Q129:V129"/>
    <mergeCell ref="Q130:S130"/>
    <mergeCell ref="T130:V130"/>
    <mergeCell ref="T7:U7"/>
    <mergeCell ref="B7:D7"/>
    <mergeCell ref="E7:G7"/>
    <mergeCell ref="H7:J7"/>
    <mergeCell ref="T32:U32"/>
    <mergeCell ref="B32:D32"/>
    <mergeCell ref="A130:A131"/>
    <mergeCell ref="B150:D150"/>
    <mergeCell ref="E150:G150"/>
    <mergeCell ref="A32:A33"/>
    <mergeCell ref="A150:A151"/>
    <mergeCell ref="T149:Y149"/>
    <mergeCell ref="T150:V150"/>
    <mergeCell ref="W150:Y150"/>
    <mergeCell ref="H149:M149"/>
    <mergeCell ref="H150:J150"/>
    <mergeCell ref="K150:M150"/>
    <mergeCell ref="N149:S149"/>
    <mergeCell ref="B149:G149"/>
    <mergeCell ref="N150:P150"/>
    <mergeCell ref="Q150:S150"/>
    <mergeCell ref="F79:H79"/>
    <mergeCell ref="C79:E79"/>
    <mergeCell ref="A79:A80"/>
    <mergeCell ref="R79:T79"/>
    <mergeCell ref="O79:Q79"/>
    <mergeCell ref="M79:N79"/>
    <mergeCell ref="K79:L79"/>
    <mergeCell ref="I79:J79"/>
  </mergeCells>
  <phoneticPr fontId="0" type="noConversion"/>
  <printOptions horizontalCentered="1"/>
  <pageMargins left="0.23622047244094491" right="0.23622047244094491" top="0.43307086614173229" bottom="0.82677165354330717" header="0.15748031496062992" footer="0.39370078740157483"/>
  <pageSetup paperSize="9" scale="50" orientation="landscape" r:id="rId1"/>
  <headerFooter alignWithMargins="0">
    <oddHeader>&amp;LVeresegyház Város Önkormányzat</oddHeader>
    <oddFooter>&amp;LVeresegyház, 2013. Szeptember 03.</odd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E90"/>
  <sheetViews>
    <sheetView view="pageLayout" topLeftCell="A13" workbookViewId="0">
      <selection activeCell="E38" sqref="E38"/>
    </sheetView>
  </sheetViews>
  <sheetFormatPr defaultRowHeight="13.2"/>
  <cols>
    <col min="1" max="1" width="4.44140625" customWidth="1"/>
    <col min="2" max="2" width="63.33203125" customWidth="1"/>
    <col min="3" max="3" width="14.21875" customWidth="1"/>
    <col min="4" max="4" width="11.5546875" customWidth="1"/>
    <col min="5" max="5" width="17.44140625" customWidth="1"/>
  </cols>
  <sheetData>
    <row r="1" spans="1:5">
      <c r="B1" s="5"/>
      <c r="E1" s="197" t="s">
        <v>379</v>
      </c>
    </row>
    <row r="3" spans="1:5">
      <c r="A3" s="962" t="s">
        <v>22</v>
      </c>
      <c r="B3" s="701"/>
      <c r="C3" s="701"/>
      <c r="D3" s="701"/>
      <c r="E3" s="701"/>
    </row>
    <row r="4" spans="1:5">
      <c r="A4" s="727" t="s">
        <v>39</v>
      </c>
      <c r="B4" s="701"/>
      <c r="C4" s="701"/>
      <c r="D4" s="701"/>
      <c r="E4" s="701"/>
    </row>
    <row r="5" spans="1:5">
      <c r="B5" s="257" t="s">
        <v>557</v>
      </c>
      <c r="C5" s="4"/>
    </row>
    <row r="7" spans="1:5">
      <c r="E7" s="197" t="s">
        <v>23</v>
      </c>
    </row>
    <row r="8" spans="1:5" ht="24.75" customHeight="1">
      <c r="B8" s="12" t="s">
        <v>24</v>
      </c>
      <c r="C8" s="963" t="s">
        <v>535</v>
      </c>
      <c r="D8" s="964"/>
      <c r="E8" s="965"/>
    </row>
    <row r="9" spans="1:5" ht="39.6" customHeight="1">
      <c r="B9" s="196"/>
      <c r="C9" s="209" t="s">
        <v>231</v>
      </c>
      <c r="D9" s="209" t="s">
        <v>525</v>
      </c>
      <c r="E9" s="209" t="s">
        <v>743</v>
      </c>
    </row>
    <row r="10" spans="1:5" ht="13.5" customHeight="1">
      <c r="B10" s="957" t="s">
        <v>44</v>
      </c>
      <c r="C10" s="960">
        <v>391</v>
      </c>
      <c r="D10" s="960">
        <v>391</v>
      </c>
      <c r="E10" s="960">
        <v>0</v>
      </c>
    </row>
    <row r="11" spans="1:5" ht="13.5" customHeight="1">
      <c r="B11" s="958"/>
      <c r="C11" s="961"/>
      <c r="D11" s="961"/>
      <c r="E11" s="961"/>
    </row>
    <row r="12" spans="1:5" ht="13.5" customHeight="1">
      <c r="B12" s="957" t="s">
        <v>45</v>
      </c>
      <c r="C12" s="769"/>
      <c r="D12" s="769"/>
      <c r="E12" s="769"/>
    </row>
    <row r="13" spans="1:5" ht="13.5" customHeight="1">
      <c r="B13" s="959"/>
      <c r="C13" s="769"/>
      <c r="D13" s="769"/>
      <c r="E13" s="769"/>
    </row>
    <row r="14" spans="1:5" ht="13.5" customHeight="1">
      <c r="B14" s="16" t="s">
        <v>25</v>
      </c>
      <c r="C14" s="16"/>
      <c r="D14" s="198"/>
      <c r="E14" s="198"/>
    </row>
    <row r="15" spans="1:5" ht="13.5" customHeight="1">
      <c r="B15" s="17" t="s">
        <v>1</v>
      </c>
      <c r="C15" s="16"/>
      <c r="D15" s="198"/>
      <c r="E15" s="198"/>
    </row>
    <row r="16" spans="1:5" ht="13.5" customHeight="1">
      <c r="B16" s="17" t="s">
        <v>26</v>
      </c>
      <c r="C16" s="16"/>
      <c r="D16" s="198"/>
      <c r="E16" s="198"/>
    </row>
    <row r="17" spans="2:5" ht="13.5" customHeight="1">
      <c r="B17" s="17" t="s">
        <v>27</v>
      </c>
      <c r="C17" s="16"/>
      <c r="D17" s="198"/>
      <c r="E17" s="198"/>
    </row>
    <row r="18" spans="2:5" ht="13.5" customHeight="1">
      <c r="B18" s="17" t="s">
        <v>28</v>
      </c>
      <c r="C18" s="16"/>
      <c r="D18" s="198"/>
      <c r="E18" s="198"/>
    </row>
    <row r="19" spans="2:5" ht="13.5" customHeight="1">
      <c r="B19" s="17" t="s">
        <v>29</v>
      </c>
      <c r="C19" s="16"/>
      <c r="D19" s="198"/>
      <c r="E19" s="198"/>
    </row>
    <row r="20" spans="2:5" ht="13.5" customHeight="1">
      <c r="B20" s="17" t="s">
        <v>30</v>
      </c>
      <c r="C20" s="16"/>
      <c r="D20" s="198"/>
      <c r="E20" s="198"/>
    </row>
    <row r="21" spans="2:5" ht="13.5" customHeight="1">
      <c r="B21" s="17" t="s">
        <v>31</v>
      </c>
      <c r="C21" s="16"/>
      <c r="D21" s="198"/>
      <c r="E21" s="198"/>
    </row>
    <row r="22" spans="2:5" ht="13.5" customHeight="1">
      <c r="B22" s="18" t="s">
        <v>32</v>
      </c>
      <c r="C22" s="16"/>
      <c r="D22" s="198"/>
      <c r="E22" s="198"/>
    </row>
    <row r="23" spans="2:5" ht="13.5" customHeight="1">
      <c r="B23" s="18" t="s">
        <v>38</v>
      </c>
      <c r="C23" s="16"/>
      <c r="D23" s="198"/>
      <c r="E23" s="198"/>
    </row>
    <row r="24" spans="2:5" ht="16.2" customHeight="1">
      <c r="B24" s="15" t="s">
        <v>37</v>
      </c>
      <c r="C24" s="31">
        <v>7867</v>
      </c>
      <c r="D24" s="31">
        <v>6433</v>
      </c>
      <c r="E24" s="31">
        <v>6433</v>
      </c>
    </row>
    <row r="25" spans="2:5" ht="16.2" customHeight="1">
      <c r="B25" s="16" t="s">
        <v>33</v>
      </c>
      <c r="C25" s="16"/>
      <c r="D25" s="198"/>
      <c r="E25" s="198"/>
    </row>
    <row r="26" spans="2:5" ht="13.5" customHeight="1">
      <c r="B26" s="17" t="s">
        <v>1</v>
      </c>
      <c r="C26" s="16"/>
      <c r="D26" s="198"/>
      <c r="E26" s="198"/>
    </row>
    <row r="27" spans="2:5" ht="13.5" customHeight="1">
      <c r="B27" s="17" t="s">
        <v>26</v>
      </c>
      <c r="C27" s="16"/>
      <c r="D27" s="198"/>
      <c r="E27" s="198"/>
    </row>
    <row r="28" spans="2:5" ht="13.5" customHeight="1">
      <c r="B28" s="17" t="s">
        <v>27</v>
      </c>
      <c r="C28" s="16"/>
      <c r="D28" s="198"/>
      <c r="E28" s="198"/>
    </row>
    <row r="29" spans="2:5" ht="13.5" customHeight="1">
      <c r="B29" s="17" t="s">
        <v>28</v>
      </c>
      <c r="C29" s="16"/>
      <c r="D29" s="198"/>
      <c r="E29" s="198"/>
    </row>
    <row r="30" spans="2:5" ht="13.5" customHeight="1">
      <c r="B30" s="17" t="s">
        <v>29</v>
      </c>
      <c r="C30" s="16"/>
      <c r="D30" s="198"/>
      <c r="E30" s="198"/>
    </row>
    <row r="31" spans="2:5" ht="13.5" customHeight="1">
      <c r="B31" s="17" t="s">
        <v>30</v>
      </c>
      <c r="C31" s="16"/>
      <c r="D31" s="198"/>
      <c r="E31" s="198"/>
    </row>
    <row r="32" spans="2:5" ht="13.5" customHeight="1">
      <c r="B32" s="17" t="s">
        <v>31</v>
      </c>
      <c r="C32" s="16"/>
      <c r="D32" s="198"/>
      <c r="E32" s="198"/>
    </row>
    <row r="33" spans="1:5" ht="13.5" customHeight="1">
      <c r="B33" s="18" t="s">
        <v>32</v>
      </c>
      <c r="C33" s="16"/>
      <c r="D33" s="198"/>
      <c r="E33" s="198"/>
    </row>
    <row r="34" spans="1:5" ht="13.5" customHeight="1">
      <c r="B34" s="18" t="s">
        <v>38</v>
      </c>
      <c r="C34" s="16"/>
      <c r="D34" s="198"/>
      <c r="E34" s="198"/>
    </row>
    <row r="35" spans="1:5" ht="14.4" customHeight="1">
      <c r="B35" s="15" t="s">
        <v>35</v>
      </c>
      <c r="C35" s="31">
        <v>2865</v>
      </c>
      <c r="D35" s="31">
        <v>2949</v>
      </c>
      <c r="E35" s="31">
        <v>2949</v>
      </c>
    </row>
    <row r="36" spans="1:5" ht="13.5" customHeight="1">
      <c r="B36" s="13" t="s">
        <v>40</v>
      </c>
      <c r="C36" s="31">
        <v>29802</v>
      </c>
      <c r="D36" s="280">
        <v>29802</v>
      </c>
      <c r="E36" s="31">
        <f>+D36/2</f>
        <v>14901</v>
      </c>
    </row>
    <row r="37" spans="1:5" ht="13.5" customHeight="1">
      <c r="B37" s="13" t="s">
        <v>41</v>
      </c>
      <c r="C37" s="31">
        <v>52516</v>
      </c>
      <c r="D37" s="280">
        <v>199463</v>
      </c>
      <c r="E37" s="31">
        <v>133665</v>
      </c>
    </row>
    <row r="38" spans="1:5" ht="13.5" customHeight="1">
      <c r="B38" s="13" t="s">
        <v>34</v>
      </c>
      <c r="C38" s="16"/>
      <c r="D38" s="198"/>
      <c r="E38" s="198"/>
    </row>
    <row r="39" spans="1:5" ht="15" customHeight="1">
      <c r="B39" s="8" t="s">
        <v>36</v>
      </c>
      <c r="C39" s="37">
        <f>C10+C12+C14+C24+C25+C35+C36+C37+C38</f>
        <v>93441</v>
      </c>
      <c r="D39" s="37">
        <f t="shared" ref="D39:E39" si="0">D10+D12+D14+D24+D25+D35+D36+D37+D38</f>
        <v>239038</v>
      </c>
      <c r="E39" s="37">
        <f t="shared" si="0"/>
        <v>157948</v>
      </c>
    </row>
    <row r="41" spans="1:5">
      <c r="B41" s="6" t="s">
        <v>42</v>
      </c>
    </row>
    <row r="43" spans="1:5">
      <c r="A43" s="3">
        <v>1</v>
      </c>
      <c r="B43" s="6" t="s">
        <v>215</v>
      </c>
    </row>
    <row r="45" spans="1:5">
      <c r="A45" s="3">
        <v>13</v>
      </c>
      <c r="B45" s="67" t="s">
        <v>216</v>
      </c>
    </row>
    <row r="46" spans="1:5">
      <c r="A46" s="3"/>
      <c r="B46" s="67"/>
    </row>
    <row r="47" spans="1:5">
      <c r="A47" s="3">
        <v>24</v>
      </c>
      <c r="B47" s="67" t="s">
        <v>219</v>
      </c>
    </row>
    <row r="48" spans="1:5">
      <c r="A48" s="3"/>
      <c r="B48" s="67" t="s">
        <v>220</v>
      </c>
    </row>
    <row r="49" spans="1:2">
      <c r="A49" s="3"/>
      <c r="B49" s="67" t="s">
        <v>221</v>
      </c>
    </row>
    <row r="50" spans="1:2">
      <c r="A50" s="3"/>
      <c r="B50" s="67" t="s">
        <v>222</v>
      </c>
    </row>
    <row r="51" spans="1:2">
      <c r="A51" s="3"/>
      <c r="B51" s="67" t="s">
        <v>223</v>
      </c>
    </row>
    <row r="52" spans="1:2">
      <c r="A52" s="3"/>
      <c r="B52" s="67"/>
    </row>
    <row r="53" spans="1:2">
      <c r="A53" s="3">
        <v>25</v>
      </c>
      <c r="B53" t="s">
        <v>217</v>
      </c>
    </row>
    <row r="54" spans="1:2">
      <c r="A54" s="3"/>
    </row>
    <row r="55" spans="1:2">
      <c r="A55" s="3">
        <v>26</v>
      </c>
      <c r="B55" t="s">
        <v>218</v>
      </c>
    </row>
    <row r="90" ht="18" customHeight="1"/>
  </sheetData>
  <mergeCells count="11">
    <mergeCell ref="B10:B11"/>
    <mergeCell ref="B12:B13"/>
    <mergeCell ref="C12:C13"/>
    <mergeCell ref="C10:C11"/>
    <mergeCell ref="A3:E3"/>
    <mergeCell ref="A4:E4"/>
    <mergeCell ref="D10:D11"/>
    <mergeCell ref="E10:E11"/>
    <mergeCell ref="D12:D13"/>
    <mergeCell ref="E12:E13"/>
    <mergeCell ref="C8:E8"/>
  </mergeCells>
  <phoneticPr fontId="0" type="noConversion"/>
  <printOptions horizontalCentered="1"/>
  <pageMargins left="0.23622047244094491" right="0.23622047244094491" top="0.31496062992125984" bottom="0.15748031496062992" header="0.15748031496062992" footer="0.19685039370078741"/>
  <pageSetup paperSize="9" scale="80" orientation="portrait" r:id="rId1"/>
  <headerFooter alignWithMargins="0">
    <oddHeader>&amp;LVeresegyház Város Önkormányzat</oddHeader>
    <oddFooter>&amp;LVeresegyház, 2013. Szeptember 03.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N90"/>
  <sheetViews>
    <sheetView view="pageLayout" topLeftCell="A4" workbookViewId="0">
      <selection activeCell="G9" sqref="G9"/>
    </sheetView>
  </sheetViews>
  <sheetFormatPr defaultRowHeight="10.199999999999999"/>
  <cols>
    <col min="1" max="1" width="10.109375" style="107" bestFit="1" customWidth="1"/>
    <col min="2" max="3" width="9.109375" style="107"/>
    <col min="4" max="4" width="12" style="107" customWidth="1"/>
    <col min="5" max="6" width="11.88671875" style="110" customWidth="1"/>
    <col min="7" max="7" width="13" style="110" customWidth="1"/>
    <col min="8" max="8" width="11.6640625" style="110" customWidth="1"/>
    <col min="9" max="9" width="11.5546875" style="110" customWidth="1"/>
    <col min="10" max="11" width="9.88671875" style="110" customWidth="1"/>
    <col min="12" max="12" width="12.44140625" style="110" customWidth="1"/>
    <col min="13" max="13" width="13.33203125" style="110" customWidth="1"/>
    <col min="14" max="261" width="9.109375" style="107"/>
    <col min="262" max="262" width="12" style="107" customWidth="1"/>
    <col min="263" max="263" width="11.88671875" style="107" customWidth="1"/>
    <col min="264" max="264" width="11.6640625" style="107" customWidth="1"/>
    <col min="265" max="265" width="11.5546875" style="107" customWidth="1"/>
    <col min="266" max="267" width="9.88671875" style="107" customWidth="1"/>
    <col min="268" max="268" width="12.44140625" style="107" customWidth="1"/>
    <col min="269" max="269" width="13.33203125" style="107" customWidth="1"/>
    <col min="270" max="517" width="9.109375" style="107"/>
    <col min="518" max="518" width="12" style="107" customWidth="1"/>
    <col min="519" max="519" width="11.88671875" style="107" customWidth="1"/>
    <col min="520" max="520" width="11.6640625" style="107" customWidth="1"/>
    <col min="521" max="521" width="11.5546875" style="107" customWidth="1"/>
    <col min="522" max="523" width="9.88671875" style="107" customWidth="1"/>
    <col min="524" max="524" width="12.44140625" style="107" customWidth="1"/>
    <col min="525" max="525" width="13.33203125" style="107" customWidth="1"/>
    <col min="526" max="773" width="9.109375" style="107"/>
    <col min="774" max="774" width="12" style="107" customWidth="1"/>
    <col min="775" max="775" width="11.88671875" style="107" customWidth="1"/>
    <col min="776" max="776" width="11.6640625" style="107" customWidth="1"/>
    <col min="777" max="777" width="11.5546875" style="107" customWidth="1"/>
    <col min="778" max="779" width="9.88671875" style="107" customWidth="1"/>
    <col min="780" max="780" width="12.44140625" style="107" customWidth="1"/>
    <col min="781" max="781" width="13.33203125" style="107" customWidth="1"/>
    <col min="782" max="1029" width="9.109375" style="107"/>
    <col min="1030" max="1030" width="12" style="107" customWidth="1"/>
    <col min="1031" max="1031" width="11.88671875" style="107" customWidth="1"/>
    <col min="1032" max="1032" width="11.6640625" style="107" customWidth="1"/>
    <col min="1033" max="1033" width="11.5546875" style="107" customWidth="1"/>
    <col min="1034" max="1035" width="9.88671875" style="107" customWidth="1"/>
    <col min="1036" max="1036" width="12.44140625" style="107" customWidth="1"/>
    <col min="1037" max="1037" width="13.33203125" style="107" customWidth="1"/>
    <col min="1038" max="1285" width="9.109375" style="107"/>
    <col min="1286" max="1286" width="12" style="107" customWidth="1"/>
    <col min="1287" max="1287" width="11.88671875" style="107" customWidth="1"/>
    <col min="1288" max="1288" width="11.6640625" style="107" customWidth="1"/>
    <col min="1289" max="1289" width="11.5546875" style="107" customWidth="1"/>
    <col min="1290" max="1291" width="9.88671875" style="107" customWidth="1"/>
    <col min="1292" max="1292" width="12.44140625" style="107" customWidth="1"/>
    <col min="1293" max="1293" width="13.33203125" style="107" customWidth="1"/>
    <col min="1294" max="1541" width="9.109375" style="107"/>
    <col min="1542" max="1542" width="12" style="107" customWidth="1"/>
    <col min="1543" max="1543" width="11.88671875" style="107" customWidth="1"/>
    <col min="1544" max="1544" width="11.6640625" style="107" customWidth="1"/>
    <col min="1545" max="1545" width="11.5546875" style="107" customWidth="1"/>
    <col min="1546" max="1547" width="9.88671875" style="107" customWidth="1"/>
    <col min="1548" max="1548" width="12.44140625" style="107" customWidth="1"/>
    <col min="1549" max="1549" width="13.33203125" style="107" customWidth="1"/>
    <col min="1550" max="1797" width="9.109375" style="107"/>
    <col min="1798" max="1798" width="12" style="107" customWidth="1"/>
    <col min="1799" max="1799" width="11.88671875" style="107" customWidth="1"/>
    <col min="1800" max="1800" width="11.6640625" style="107" customWidth="1"/>
    <col min="1801" max="1801" width="11.5546875" style="107" customWidth="1"/>
    <col min="1802" max="1803" width="9.88671875" style="107" customWidth="1"/>
    <col min="1804" max="1804" width="12.44140625" style="107" customWidth="1"/>
    <col min="1805" max="1805" width="13.33203125" style="107" customWidth="1"/>
    <col min="1806" max="2053" width="9.109375" style="107"/>
    <col min="2054" max="2054" width="12" style="107" customWidth="1"/>
    <col min="2055" max="2055" width="11.88671875" style="107" customWidth="1"/>
    <col min="2056" max="2056" width="11.6640625" style="107" customWidth="1"/>
    <col min="2057" max="2057" width="11.5546875" style="107" customWidth="1"/>
    <col min="2058" max="2059" width="9.88671875" style="107" customWidth="1"/>
    <col min="2060" max="2060" width="12.44140625" style="107" customWidth="1"/>
    <col min="2061" max="2061" width="13.33203125" style="107" customWidth="1"/>
    <col min="2062" max="2309" width="9.109375" style="107"/>
    <col min="2310" max="2310" width="12" style="107" customWidth="1"/>
    <col min="2311" max="2311" width="11.88671875" style="107" customWidth="1"/>
    <col min="2312" max="2312" width="11.6640625" style="107" customWidth="1"/>
    <col min="2313" max="2313" width="11.5546875" style="107" customWidth="1"/>
    <col min="2314" max="2315" width="9.88671875" style="107" customWidth="1"/>
    <col min="2316" max="2316" width="12.44140625" style="107" customWidth="1"/>
    <col min="2317" max="2317" width="13.33203125" style="107" customWidth="1"/>
    <col min="2318" max="2565" width="9.109375" style="107"/>
    <col min="2566" max="2566" width="12" style="107" customWidth="1"/>
    <col min="2567" max="2567" width="11.88671875" style="107" customWidth="1"/>
    <col min="2568" max="2568" width="11.6640625" style="107" customWidth="1"/>
    <col min="2569" max="2569" width="11.5546875" style="107" customWidth="1"/>
    <col min="2570" max="2571" width="9.88671875" style="107" customWidth="1"/>
    <col min="2572" max="2572" width="12.44140625" style="107" customWidth="1"/>
    <col min="2573" max="2573" width="13.33203125" style="107" customWidth="1"/>
    <col min="2574" max="2821" width="9.109375" style="107"/>
    <col min="2822" max="2822" width="12" style="107" customWidth="1"/>
    <col min="2823" max="2823" width="11.88671875" style="107" customWidth="1"/>
    <col min="2824" max="2824" width="11.6640625" style="107" customWidth="1"/>
    <col min="2825" max="2825" width="11.5546875" style="107" customWidth="1"/>
    <col min="2826" max="2827" width="9.88671875" style="107" customWidth="1"/>
    <col min="2828" max="2828" width="12.44140625" style="107" customWidth="1"/>
    <col min="2829" max="2829" width="13.33203125" style="107" customWidth="1"/>
    <col min="2830" max="3077" width="9.109375" style="107"/>
    <col min="3078" max="3078" width="12" style="107" customWidth="1"/>
    <col min="3079" max="3079" width="11.88671875" style="107" customWidth="1"/>
    <col min="3080" max="3080" width="11.6640625" style="107" customWidth="1"/>
    <col min="3081" max="3081" width="11.5546875" style="107" customWidth="1"/>
    <col min="3082" max="3083" width="9.88671875" style="107" customWidth="1"/>
    <col min="3084" max="3084" width="12.44140625" style="107" customWidth="1"/>
    <col min="3085" max="3085" width="13.33203125" style="107" customWidth="1"/>
    <col min="3086" max="3333" width="9.109375" style="107"/>
    <col min="3334" max="3334" width="12" style="107" customWidth="1"/>
    <col min="3335" max="3335" width="11.88671875" style="107" customWidth="1"/>
    <col min="3336" max="3336" width="11.6640625" style="107" customWidth="1"/>
    <col min="3337" max="3337" width="11.5546875" style="107" customWidth="1"/>
    <col min="3338" max="3339" width="9.88671875" style="107" customWidth="1"/>
    <col min="3340" max="3340" width="12.44140625" style="107" customWidth="1"/>
    <col min="3341" max="3341" width="13.33203125" style="107" customWidth="1"/>
    <col min="3342" max="3589" width="9.109375" style="107"/>
    <col min="3590" max="3590" width="12" style="107" customWidth="1"/>
    <col min="3591" max="3591" width="11.88671875" style="107" customWidth="1"/>
    <col min="3592" max="3592" width="11.6640625" style="107" customWidth="1"/>
    <col min="3593" max="3593" width="11.5546875" style="107" customWidth="1"/>
    <col min="3594" max="3595" width="9.88671875" style="107" customWidth="1"/>
    <col min="3596" max="3596" width="12.44140625" style="107" customWidth="1"/>
    <col min="3597" max="3597" width="13.33203125" style="107" customWidth="1"/>
    <col min="3598" max="3845" width="9.109375" style="107"/>
    <col min="3846" max="3846" width="12" style="107" customWidth="1"/>
    <col min="3847" max="3847" width="11.88671875" style="107" customWidth="1"/>
    <col min="3848" max="3848" width="11.6640625" style="107" customWidth="1"/>
    <col min="3849" max="3849" width="11.5546875" style="107" customWidth="1"/>
    <col min="3850" max="3851" width="9.88671875" style="107" customWidth="1"/>
    <col min="3852" max="3852" width="12.44140625" style="107" customWidth="1"/>
    <col min="3853" max="3853" width="13.33203125" style="107" customWidth="1"/>
    <col min="3854" max="4101" width="9.109375" style="107"/>
    <col min="4102" max="4102" width="12" style="107" customWidth="1"/>
    <col min="4103" max="4103" width="11.88671875" style="107" customWidth="1"/>
    <col min="4104" max="4104" width="11.6640625" style="107" customWidth="1"/>
    <col min="4105" max="4105" width="11.5546875" style="107" customWidth="1"/>
    <col min="4106" max="4107" width="9.88671875" style="107" customWidth="1"/>
    <col min="4108" max="4108" width="12.44140625" style="107" customWidth="1"/>
    <col min="4109" max="4109" width="13.33203125" style="107" customWidth="1"/>
    <col min="4110" max="4357" width="9.109375" style="107"/>
    <col min="4358" max="4358" width="12" style="107" customWidth="1"/>
    <col min="4359" max="4359" width="11.88671875" style="107" customWidth="1"/>
    <col min="4360" max="4360" width="11.6640625" style="107" customWidth="1"/>
    <col min="4361" max="4361" width="11.5546875" style="107" customWidth="1"/>
    <col min="4362" max="4363" width="9.88671875" style="107" customWidth="1"/>
    <col min="4364" max="4364" width="12.44140625" style="107" customWidth="1"/>
    <col min="4365" max="4365" width="13.33203125" style="107" customWidth="1"/>
    <col min="4366" max="4613" width="9.109375" style="107"/>
    <col min="4614" max="4614" width="12" style="107" customWidth="1"/>
    <col min="4615" max="4615" width="11.88671875" style="107" customWidth="1"/>
    <col min="4616" max="4616" width="11.6640625" style="107" customWidth="1"/>
    <col min="4617" max="4617" width="11.5546875" style="107" customWidth="1"/>
    <col min="4618" max="4619" width="9.88671875" style="107" customWidth="1"/>
    <col min="4620" max="4620" width="12.44140625" style="107" customWidth="1"/>
    <col min="4621" max="4621" width="13.33203125" style="107" customWidth="1"/>
    <col min="4622" max="4869" width="9.109375" style="107"/>
    <col min="4870" max="4870" width="12" style="107" customWidth="1"/>
    <col min="4871" max="4871" width="11.88671875" style="107" customWidth="1"/>
    <col min="4872" max="4872" width="11.6640625" style="107" customWidth="1"/>
    <col min="4873" max="4873" width="11.5546875" style="107" customWidth="1"/>
    <col min="4874" max="4875" width="9.88671875" style="107" customWidth="1"/>
    <col min="4876" max="4876" width="12.44140625" style="107" customWidth="1"/>
    <col min="4877" max="4877" width="13.33203125" style="107" customWidth="1"/>
    <col min="4878" max="5125" width="9.109375" style="107"/>
    <col min="5126" max="5126" width="12" style="107" customWidth="1"/>
    <col min="5127" max="5127" width="11.88671875" style="107" customWidth="1"/>
    <col min="5128" max="5128" width="11.6640625" style="107" customWidth="1"/>
    <col min="5129" max="5129" width="11.5546875" style="107" customWidth="1"/>
    <col min="5130" max="5131" width="9.88671875" style="107" customWidth="1"/>
    <col min="5132" max="5132" width="12.44140625" style="107" customWidth="1"/>
    <col min="5133" max="5133" width="13.33203125" style="107" customWidth="1"/>
    <col min="5134" max="5381" width="9.109375" style="107"/>
    <col min="5382" max="5382" width="12" style="107" customWidth="1"/>
    <col min="5383" max="5383" width="11.88671875" style="107" customWidth="1"/>
    <col min="5384" max="5384" width="11.6640625" style="107" customWidth="1"/>
    <col min="5385" max="5385" width="11.5546875" style="107" customWidth="1"/>
    <col min="5386" max="5387" width="9.88671875" style="107" customWidth="1"/>
    <col min="5388" max="5388" width="12.44140625" style="107" customWidth="1"/>
    <col min="5389" max="5389" width="13.33203125" style="107" customWidth="1"/>
    <col min="5390" max="5637" width="9.109375" style="107"/>
    <col min="5638" max="5638" width="12" style="107" customWidth="1"/>
    <col min="5639" max="5639" width="11.88671875" style="107" customWidth="1"/>
    <col min="5640" max="5640" width="11.6640625" style="107" customWidth="1"/>
    <col min="5641" max="5641" width="11.5546875" style="107" customWidth="1"/>
    <col min="5642" max="5643" width="9.88671875" style="107" customWidth="1"/>
    <col min="5644" max="5644" width="12.44140625" style="107" customWidth="1"/>
    <col min="5645" max="5645" width="13.33203125" style="107" customWidth="1"/>
    <col min="5646" max="5893" width="9.109375" style="107"/>
    <col min="5894" max="5894" width="12" style="107" customWidth="1"/>
    <col min="5895" max="5895" width="11.88671875" style="107" customWidth="1"/>
    <col min="5896" max="5896" width="11.6640625" style="107" customWidth="1"/>
    <col min="5897" max="5897" width="11.5546875" style="107" customWidth="1"/>
    <col min="5898" max="5899" width="9.88671875" style="107" customWidth="1"/>
    <col min="5900" max="5900" width="12.44140625" style="107" customWidth="1"/>
    <col min="5901" max="5901" width="13.33203125" style="107" customWidth="1"/>
    <col min="5902" max="6149" width="9.109375" style="107"/>
    <col min="6150" max="6150" width="12" style="107" customWidth="1"/>
    <col min="6151" max="6151" width="11.88671875" style="107" customWidth="1"/>
    <col min="6152" max="6152" width="11.6640625" style="107" customWidth="1"/>
    <col min="6153" max="6153" width="11.5546875" style="107" customWidth="1"/>
    <col min="6154" max="6155" width="9.88671875" style="107" customWidth="1"/>
    <col min="6156" max="6156" width="12.44140625" style="107" customWidth="1"/>
    <col min="6157" max="6157" width="13.33203125" style="107" customWidth="1"/>
    <col min="6158" max="6405" width="9.109375" style="107"/>
    <col min="6406" max="6406" width="12" style="107" customWidth="1"/>
    <col min="6407" max="6407" width="11.88671875" style="107" customWidth="1"/>
    <col min="6408" max="6408" width="11.6640625" style="107" customWidth="1"/>
    <col min="6409" max="6409" width="11.5546875" style="107" customWidth="1"/>
    <col min="6410" max="6411" width="9.88671875" style="107" customWidth="1"/>
    <col min="6412" max="6412" width="12.44140625" style="107" customWidth="1"/>
    <col min="6413" max="6413" width="13.33203125" style="107" customWidth="1"/>
    <col min="6414" max="6661" width="9.109375" style="107"/>
    <col min="6662" max="6662" width="12" style="107" customWidth="1"/>
    <col min="6663" max="6663" width="11.88671875" style="107" customWidth="1"/>
    <col min="6664" max="6664" width="11.6640625" style="107" customWidth="1"/>
    <col min="6665" max="6665" width="11.5546875" style="107" customWidth="1"/>
    <col min="6666" max="6667" width="9.88671875" style="107" customWidth="1"/>
    <col min="6668" max="6668" width="12.44140625" style="107" customWidth="1"/>
    <col min="6669" max="6669" width="13.33203125" style="107" customWidth="1"/>
    <col min="6670" max="6917" width="9.109375" style="107"/>
    <col min="6918" max="6918" width="12" style="107" customWidth="1"/>
    <col min="6919" max="6919" width="11.88671875" style="107" customWidth="1"/>
    <col min="6920" max="6920" width="11.6640625" style="107" customWidth="1"/>
    <col min="6921" max="6921" width="11.5546875" style="107" customWidth="1"/>
    <col min="6922" max="6923" width="9.88671875" style="107" customWidth="1"/>
    <col min="6924" max="6924" width="12.44140625" style="107" customWidth="1"/>
    <col min="6925" max="6925" width="13.33203125" style="107" customWidth="1"/>
    <col min="6926" max="7173" width="9.109375" style="107"/>
    <col min="7174" max="7174" width="12" style="107" customWidth="1"/>
    <col min="7175" max="7175" width="11.88671875" style="107" customWidth="1"/>
    <col min="7176" max="7176" width="11.6640625" style="107" customWidth="1"/>
    <col min="7177" max="7177" width="11.5546875" style="107" customWidth="1"/>
    <col min="7178" max="7179" width="9.88671875" style="107" customWidth="1"/>
    <col min="7180" max="7180" width="12.44140625" style="107" customWidth="1"/>
    <col min="7181" max="7181" width="13.33203125" style="107" customWidth="1"/>
    <col min="7182" max="7429" width="9.109375" style="107"/>
    <col min="7430" max="7430" width="12" style="107" customWidth="1"/>
    <col min="7431" max="7431" width="11.88671875" style="107" customWidth="1"/>
    <col min="7432" max="7432" width="11.6640625" style="107" customWidth="1"/>
    <col min="7433" max="7433" width="11.5546875" style="107" customWidth="1"/>
    <col min="7434" max="7435" width="9.88671875" style="107" customWidth="1"/>
    <col min="7436" max="7436" width="12.44140625" style="107" customWidth="1"/>
    <col min="7437" max="7437" width="13.33203125" style="107" customWidth="1"/>
    <col min="7438" max="7685" width="9.109375" style="107"/>
    <col min="7686" max="7686" width="12" style="107" customWidth="1"/>
    <col min="7687" max="7687" width="11.88671875" style="107" customWidth="1"/>
    <col min="7688" max="7688" width="11.6640625" style="107" customWidth="1"/>
    <col min="7689" max="7689" width="11.5546875" style="107" customWidth="1"/>
    <col min="7690" max="7691" width="9.88671875" style="107" customWidth="1"/>
    <col min="7692" max="7692" width="12.44140625" style="107" customWidth="1"/>
    <col min="7693" max="7693" width="13.33203125" style="107" customWidth="1"/>
    <col min="7694" max="7941" width="9.109375" style="107"/>
    <col min="7942" max="7942" width="12" style="107" customWidth="1"/>
    <col min="7943" max="7943" width="11.88671875" style="107" customWidth="1"/>
    <col min="7944" max="7944" width="11.6640625" style="107" customWidth="1"/>
    <col min="7945" max="7945" width="11.5546875" style="107" customWidth="1"/>
    <col min="7946" max="7947" width="9.88671875" style="107" customWidth="1"/>
    <col min="7948" max="7948" width="12.44140625" style="107" customWidth="1"/>
    <col min="7949" max="7949" width="13.33203125" style="107" customWidth="1"/>
    <col min="7950" max="8197" width="9.109375" style="107"/>
    <col min="8198" max="8198" width="12" style="107" customWidth="1"/>
    <col min="8199" max="8199" width="11.88671875" style="107" customWidth="1"/>
    <col min="8200" max="8200" width="11.6640625" style="107" customWidth="1"/>
    <col min="8201" max="8201" width="11.5546875" style="107" customWidth="1"/>
    <col min="8202" max="8203" width="9.88671875" style="107" customWidth="1"/>
    <col min="8204" max="8204" width="12.44140625" style="107" customWidth="1"/>
    <col min="8205" max="8205" width="13.33203125" style="107" customWidth="1"/>
    <col min="8206" max="8453" width="9.109375" style="107"/>
    <col min="8454" max="8454" width="12" style="107" customWidth="1"/>
    <col min="8455" max="8455" width="11.88671875" style="107" customWidth="1"/>
    <col min="8456" max="8456" width="11.6640625" style="107" customWidth="1"/>
    <col min="8457" max="8457" width="11.5546875" style="107" customWidth="1"/>
    <col min="8458" max="8459" width="9.88671875" style="107" customWidth="1"/>
    <col min="8460" max="8460" width="12.44140625" style="107" customWidth="1"/>
    <col min="8461" max="8461" width="13.33203125" style="107" customWidth="1"/>
    <col min="8462" max="8709" width="9.109375" style="107"/>
    <col min="8710" max="8710" width="12" style="107" customWidth="1"/>
    <col min="8711" max="8711" width="11.88671875" style="107" customWidth="1"/>
    <col min="8712" max="8712" width="11.6640625" style="107" customWidth="1"/>
    <col min="8713" max="8713" width="11.5546875" style="107" customWidth="1"/>
    <col min="8714" max="8715" width="9.88671875" style="107" customWidth="1"/>
    <col min="8716" max="8716" width="12.44140625" style="107" customWidth="1"/>
    <col min="8717" max="8717" width="13.33203125" style="107" customWidth="1"/>
    <col min="8718" max="8965" width="9.109375" style="107"/>
    <col min="8966" max="8966" width="12" style="107" customWidth="1"/>
    <col min="8967" max="8967" width="11.88671875" style="107" customWidth="1"/>
    <col min="8968" max="8968" width="11.6640625" style="107" customWidth="1"/>
    <col min="8969" max="8969" width="11.5546875" style="107" customWidth="1"/>
    <col min="8970" max="8971" width="9.88671875" style="107" customWidth="1"/>
    <col min="8972" max="8972" width="12.44140625" style="107" customWidth="1"/>
    <col min="8973" max="8973" width="13.33203125" style="107" customWidth="1"/>
    <col min="8974" max="9221" width="9.109375" style="107"/>
    <col min="9222" max="9222" width="12" style="107" customWidth="1"/>
    <col min="9223" max="9223" width="11.88671875" style="107" customWidth="1"/>
    <col min="9224" max="9224" width="11.6640625" style="107" customWidth="1"/>
    <col min="9225" max="9225" width="11.5546875" style="107" customWidth="1"/>
    <col min="9226" max="9227" width="9.88671875" style="107" customWidth="1"/>
    <col min="9228" max="9228" width="12.44140625" style="107" customWidth="1"/>
    <col min="9229" max="9229" width="13.33203125" style="107" customWidth="1"/>
    <col min="9230" max="9477" width="9.109375" style="107"/>
    <col min="9478" max="9478" width="12" style="107" customWidth="1"/>
    <col min="9479" max="9479" width="11.88671875" style="107" customWidth="1"/>
    <col min="9480" max="9480" width="11.6640625" style="107" customWidth="1"/>
    <col min="9481" max="9481" width="11.5546875" style="107" customWidth="1"/>
    <col min="9482" max="9483" width="9.88671875" style="107" customWidth="1"/>
    <col min="9484" max="9484" width="12.44140625" style="107" customWidth="1"/>
    <col min="9485" max="9485" width="13.33203125" style="107" customWidth="1"/>
    <col min="9486" max="9733" width="9.109375" style="107"/>
    <col min="9734" max="9734" width="12" style="107" customWidth="1"/>
    <col min="9735" max="9735" width="11.88671875" style="107" customWidth="1"/>
    <col min="9736" max="9736" width="11.6640625" style="107" customWidth="1"/>
    <col min="9737" max="9737" width="11.5546875" style="107" customWidth="1"/>
    <col min="9738" max="9739" width="9.88671875" style="107" customWidth="1"/>
    <col min="9740" max="9740" width="12.44140625" style="107" customWidth="1"/>
    <col min="9741" max="9741" width="13.33203125" style="107" customWidth="1"/>
    <col min="9742" max="9989" width="9.109375" style="107"/>
    <col min="9990" max="9990" width="12" style="107" customWidth="1"/>
    <col min="9991" max="9991" width="11.88671875" style="107" customWidth="1"/>
    <col min="9992" max="9992" width="11.6640625" style="107" customWidth="1"/>
    <col min="9993" max="9993" width="11.5546875" style="107" customWidth="1"/>
    <col min="9994" max="9995" width="9.88671875" style="107" customWidth="1"/>
    <col min="9996" max="9996" width="12.44140625" style="107" customWidth="1"/>
    <col min="9997" max="9997" width="13.33203125" style="107" customWidth="1"/>
    <col min="9998" max="10245" width="9.109375" style="107"/>
    <col min="10246" max="10246" width="12" style="107" customWidth="1"/>
    <col min="10247" max="10247" width="11.88671875" style="107" customWidth="1"/>
    <col min="10248" max="10248" width="11.6640625" style="107" customWidth="1"/>
    <col min="10249" max="10249" width="11.5546875" style="107" customWidth="1"/>
    <col min="10250" max="10251" width="9.88671875" style="107" customWidth="1"/>
    <col min="10252" max="10252" width="12.44140625" style="107" customWidth="1"/>
    <col min="10253" max="10253" width="13.33203125" style="107" customWidth="1"/>
    <col min="10254" max="10501" width="9.109375" style="107"/>
    <col min="10502" max="10502" width="12" style="107" customWidth="1"/>
    <col min="10503" max="10503" width="11.88671875" style="107" customWidth="1"/>
    <col min="10504" max="10504" width="11.6640625" style="107" customWidth="1"/>
    <col min="10505" max="10505" width="11.5546875" style="107" customWidth="1"/>
    <col min="10506" max="10507" width="9.88671875" style="107" customWidth="1"/>
    <col min="10508" max="10508" width="12.44140625" style="107" customWidth="1"/>
    <col min="10509" max="10509" width="13.33203125" style="107" customWidth="1"/>
    <col min="10510" max="10757" width="9.109375" style="107"/>
    <col min="10758" max="10758" width="12" style="107" customWidth="1"/>
    <col min="10759" max="10759" width="11.88671875" style="107" customWidth="1"/>
    <col min="10760" max="10760" width="11.6640625" style="107" customWidth="1"/>
    <col min="10761" max="10761" width="11.5546875" style="107" customWidth="1"/>
    <col min="10762" max="10763" width="9.88671875" style="107" customWidth="1"/>
    <col min="10764" max="10764" width="12.44140625" style="107" customWidth="1"/>
    <col min="10765" max="10765" width="13.33203125" style="107" customWidth="1"/>
    <col min="10766" max="11013" width="9.109375" style="107"/>
    <col min="11014" max="11014" width="12" style="107" customWidth="1"/>
    <col min="11015" max="11015" width="11.88671875" style="107" customWidth="1"/>
    <col min="11016" max="11016" width="11.6640625" style="107" customWidth="1"/>
    <col min="11017" max="11017" width="11.5546875" style="107" customWidth="1"/>
    <col min="11018" max="11019" width="9.88671875" style="107" customWidth="1"/>
    <col min="11020" max="11020" width="12.44140625" style="107" customWidth="1"/>
    <col min="11021" max="11021" width="13.33203125" style="107" customWidth="1"/>
    <col min="11022" max="11269" width="9.109375" style="107"/>
    <col min="11270" max="11270" width="12" style="107" customWidth="1"/>
    <col min="11271" max="11271" width="11.88671875" style="107" customWidth="1"/>
    <col min="11272" max="11272" width="11.6640625" style="107" customWidth="1"/>
    <col min="11273" max="11273" width="11.5546875" style="107" customWidth="1"/>
    <col min="11274" max="11275" width="9.88671875" style="107" customWidth="1"/>
    <col min="11276" max="11276" width="12.44140625" style="107" customWidth="1"/>
    <col min="11277" max="11277" width="13.33203125" style="107" customWidth="1"/>
    <col min="11278" max="11525" width="9.109375" style="107"/>
    <col min="11526" max="11526" width="12" style="107" customWidth="1"/>
    <col min="11527" max="11527" width="11.88671875" style="107" customWidth="1"/>
    <col min="11528" max="11528" width="11.6640625" style="107" customWidth="1"/>
    <col min="11529" max="11529" width="11.5546875" style="107" customWidth="1"/>
    <col min="11530" max="11531" width="9.88671875" style="107" customWidth="1"/>
    <col min="11532" max="11532" width="12.44140625" style="107" customWidth="1"/>
    <col min="11533" max="11533" width="13.33203125" style="107" customWidth="1"/>
    <col min="11534" max="11781" width="9.109375" style="107"/>
    <col min="11782" max="11782" width="12" style="107" customWidth="1"/>
    <col min="11783" max="11783" width="11.88671875" style="107" customWidth="1"/>
    <col min="11784" max="11784" width="11.6640625" style="107" customWidth="1"/>
    <col min="11785" max="11785" width="11.5546875" style="107" customWidth="1"/>
    <col min="11786" max="11787" width="9.88671875" style="107" customWidth="1"/>
    <col min="11788" max="11788" width="12.44140625" style="107" customWidth="1"/>
    <col min="11789" max="11789" width="13.33203125" style="107" customWidth="1"/>
    <col min="11790" max="12037" width="9.109375" style="107"/>
    <col min="12038" max="12038" width="12" style="107" customWidth="1"/>
    <col min="12039" max="12039" width="11.88671875" style="107" customWidth="1"/>
    <col min="12040" max="12040" width="11.6640625" style="107" customWidth="1"/>
    <col min="12041" max="12041" width="11.5546875" style="107" customWidth="1"/>
    <col min="12042" max="12043" width="9.88671875" style="107" customWidth="1"/>
    <col min="12044" max="12044" width="12.44140625" style="107" customWidth="1"/>
    <col min="12045" max="12045" width="13.33203125" style="107" customWidth="1"/>
    <col min="12046" max="12293" width="9.109375" style="107"/>
    <col min="12294" max="12294" width="12" style="107" customWidth="1"/>
    <col min="12295" max="12295" width="11.88671875" style="107" customWidth="1"/>
    <col min="12296" max="12296" width="11.6640625" style="107" customWidth="1"/>
    <col min="12297" max="12297" width="11.5546875" style="107" customWidth="1"/>
    <col min="12298" max="12299" width="9.88671875" style="107" customWidth="1"/>
    <col min="12300" max="12300" width="12.44140625" style="107" customWidth="1"/>
    <col min="12301" max="12301" width="13.33203125" style="107" customWidth="1"/>
    <col min="12302" max="12549" width="9.109375" style="107"/>
    <col min="12550" max="12550" width="12" style="107" customWidth="1"/>
    <col min="12551" max="12551" width="11.88671875" style="107" customWidth="1"/>
    <col min="12552" max="12552" width="11.6640625" style="107" customWidth="1"/>
    <col min="12553" max="12553" width="11.5546875" style="107" customWidth="1"/>
    <col min="12554" max="12555" width="9.88671875" style="107" customWidth="1"/>
    <col min="12556" max="12556" width="12.44140625" style="107" customWidth="1"/>
    <col min="12557" max="12557" width="13.33203125" style="107" customWidth="1"/>
    <col min="12558" max="12805" width="9.109375" style="107"/>
    <col min="12806" max="12806" width="12" style="107" customWidth="1"/>
    <col min="12807" max="12807" width="11.88671875" style="107" customWidth="1"/>
    <col min="12808" max="12808" width="11.6640625" style="107" customWidth="1"/>
    <col min="12809" max="12809" width="11.5546875" style="107" customWidth="1"/>
    <col min="12810" max="12811" width="9.88671875" style="107" customWidth="1"/>
    <col min="12812" max="12812" width="12.44140625" style="107" customWidth="1"/>
    <col min="12813" max="12813" width="13.33203125" style="107" customWidth="1"/>
    <col min="12814" max="13061" width="9.109375" style="107"/>
    <col min="13062" max="13062" width="12" style="107" customWidth="1"/>
    <col min="13063" max="13063" width="11.88671875" style="107" customWidth="1"/>
    <col min="13064" max="13064" width="11.6640625" style="107" customWidth="1"/>
    <col min="13065" max="13065" width="11.5546875" style="107" customWidth="1"/>
    <col min="13066" max="13067" width="9.88671875" style="107" customWidth="1"/>
    <col min="13068" max="13068" width="12.44140625" style="107" customWidth="1"/>
    <col min="13069" max="13069" width="13.33203125" style="107" customWidth="1"/>
    <col min="13070" max="13317" width="9.109375" style="107"/>
    <col min="13318" max="13318" width="12" style="107" customWidth="1"/>
    <col min="13319" max="13319" width="11.88671875" style="107" customWidth="1"/>
    <col min="13320" max="13320" width="11.6640625" style="107" customWidth="1"/>
    <col min="13321" max="13321" width="11.5546875" style="107" customWidth="1"/>
    <col min="13322" max="13323" width="9.88671875" style="107" customWidth="1"/>
    <col min="13324" max="13324" width="12.44140625" style="107" customWidth="1"/>
    <col min="13325" max="13325" width="13.33203125" style="107" customWidth="1"/>
    <col min="13326" max="13573" width="9.109375" style="107"/>
    <col min="13574" max="13574" width="12" style="107" customWidth="1"/>
    <col min="13575" max="13575" width="11.88671875" style="107" customWidth="1"/>
    <col min="13576" max="13576" width="11.6640625" style="107" customWidth="1"/>
    <col min="13577" max="13577" width="11.5546875" style="107" customWidth="1"/>
    <col min="13578" max="13579" width="9.88671875" style="107" customWidth="1"/>
    <col min="13580" max="13580" width="12.44140625" style="107" customWidth="1"/>
    <col min="13581" max="13581" width="13.33203125" style="107" customWidth="1"/>
    <col min="13582" max="13829" width="9.109375" style="107"/>
    <col min="13830" max="13830" width="12" style="107" customWidth="1"/>
    <col min="13831" max="13831" width="11.88671875" style="107" customWidth="1"/>
    <col min="13832" max="13832" width="11.6640625" style="107" customWidth="1"/>
    <col min="13833" max="13833" width="11.5546875" style="107" customWidth="1"/>
    <col min="13834" max="13835" width="9.88671875" style="107" customWidth="1"/>
    <col min="13836" max="13836" width="12.44140625" style="107" customWidth="1"/>
    <col min="13837" max="13837" width="13.33203125" style="107" customWidth="1"/>
    <col min="13838" max="14085" width="9.109375" style="107"/>
    <col min="14086" max="14086" width="12" style="107" customWidth="1"/>
    <col min="14087" max="14087" width="11.88671875" style="107" customWidth="1"/>
    <col min="14088" max="14088" width="11.6640625" style="107" customWidth="1"/>
    <col min="14089" max="14089" width="11.5546875" style="107" customWidth="1"/>
    <col min="14090" max="14091" width="9.88671875" style="107" customWidth="1"/>
    <col min="14092" max="14092" width="12.44140625" style="107" customWidth="1"/>
    <col min="14093" max="14093" width="13.33203125" style="107" customWidth="1"/>
    <col min="14094" max="14341" width="9.109375" style="107"/>
    <col min="14342" max="14342" width="12" style="107" customWidth="1"/>
    <col min="14343" max="14343" width="11.88671875" style="107" customWidth="1"/>
    <col min="14344" max="14344" width="11.6640625" style="107" customWidth="1"/>
    <col min="14345" max="14345" width="11.5546875" style="107" customWidth="1"/>
    <col min="14346" max="14347" width="9.88671875" style="107" customWidth="1"/>
    <col min="14348" max="14348" width="12.44140625" style="107" customWidth="1"/>
    <col min="14349" max="14349" width="13.33203125" style="107" customWidth="1"/>
    <col min="14350" max="14597" width="9.109375" style="107"/>
    <col min="14598" max="14598" width="12" style="107" customWidth="1"/>
    <col min="14599" max="14599" width="11.88671875" style="107" customWidth="1"/>
    <col min="14600" max="14600" width="11.6640625" style="107" customWidth="1"/>
    <col min="14601" max="14601" width="11.5546875" style="107" customWidth="1"/>
    <col min="14602" max="14603" width="9.88671875" style="107" customWidth="1"/>
    <col min="14604" max="14604" width="12.44140625" style="107" customWidth="1"/>
    <col min="14605" max="14605" width="13.33203125" style="107" customWidth="1"/>
    <col min="14606" max="14853" width="9.109375" style="107"/>
    <col min="14854" max="14854" width="12" style="107" customWidth="1"/>
    <col min="14855" max="14855" width="11.88671875" style="107" customWidth="1"/>
    <col min="14856" max="14856" width="11.6640625" style="107" customWidth="1"/>
    <col min="14857" max="14857" width="11.5546875" style="107" customWidth="1"/>
    <col min="14858" max="14859" width="9.88671875" style="107" customWidth="1"/>
    <col min="14860" max="14860" width="12.44140625" style="107" customWidth="1"/>
    <col min="14861" max="14861" width="13.33203125" style="107" customWidth="1"/>
    <col min="14862" max="15109" width="9.109375" style="107"/>
    <col min="15110" max="15110" width="12" style="107" customWidth="1"/>
    <col min="15111" max="15111" width="11.88671875" style="107" customWidth="1"/>
    <col min="15112" max="15112" width="11.6640625" style="107" customWidth="1"/>
    <col min="15113" max="15113" width="11.5546875" style="107" customWidth="1"/>
    <col min="15114" max="15115" width="9.88671875" style="107" customWidth="1"/>
    <col min="15116" max="15116" width="12.44140625" style="107" customWidth="1"/>
    <col min="15117" max="15117" width="13.33203125" style="107" customWidth="1"/>
    <col min="15118" max="15365" width="9.109375" style="107"/>
    <col min="15366" max="15366" width="12" style="107" customWidth="1"/>
    <col min="15367" max="15367" width="11.88671875" style="107" customWidth="1"/>
    <col min="15368" max="15368" width="11.6640625" style="107" customWidth="1"/>
    <col min="15369" max="15369" width="11.5546875" style="107" customWidth="1"/>
    <col min="15370" max="15371" width="9.88671875" style="107" customWidth="1"/>
    <col min="15372" max="15372" width="12.44140625" style="107" customWidth="1"/>
    <col min="15373" max="15373" width="13.33203125" style="107" customWidth="1"/>
    <col min="15374" max="15621" width="9.109375" style="107"/>
    <col min="15622" max="15622" width="12" style="107" customWidth="1"/>
    <col min="15623" max="15623" width="11.88671875" style="107" customWidth="1"/>
    <col min="15624" max="15624" width="11.6640625" style="107" customWidth="1"/>
    <col min="15625" max="15625" width="11.5546875" style="107" customWidth="1"/>
    <col min="15626" max="15627" width="9.88671875" style="107" customWidth="1"/>
    <col min="15628" max="15628" width="12.44140625" style="107" customWidth="1"/>
    <col min="15629" max="15629" width="13.33203125" style="107" customWidth="1"/>
    <col min="15630" max="15877" width="9.109375" style="107"/>
    <col min="15878" max="15878" width="12" style="107" customWidth="1"/>
    <col min="15879" max="15879" width="11.88671875" style="107" customWidth="1"/>
    <col min="15880" max="15880" width="11.6640625" style="107" customWidth="1"/>
    <col min="15881" max="15881" width="11.5546875" style="107" customWidth="1"/>
    <col min="15882" max="15883" width="9.88671875" style="107" customWidth="1"/>
    <col min="15884" max="15884" width="12.44140625" style="107" customWidth="1"/>
    <col min="15885" max="15885" width="13.33203125" style="107" customWidth="1"/>
    <col min="15886" max="16133" width="9.109375" style="107"/>
    <col min="16134" max="16134" width="12" style="107" customWidth="1"/>
    <col min="16135" max="16135" width="11.88671875" style="107" customWidth="1"/>
    <col min="16136" max="16136" width="11.6640625" style="107" customWidth="1"/>
    <col min="16137" max="16137" width="11.5546875" style="107" customWidth="1"/>
    <col min="16138" max="16139" width="9.88671875" style="107" customWidth="1"/>
    <col min="16140" max="16140" width="12.44140625" style="107" customWidth="1"/>
    <col min="16141" max="16141" width="13.33203125" style="107" customWidth="1"/>
    <col min="16142" max="16384" width="9.109375" style="107"/>
  </cols>
  <sheetData>
    <row r="1" spans="1:14">
      <c r="L1" s="973" t="s">
        <v>360</v>
      </c>
      <c r="M1" s="974"/>
      <c r="N1" s="974"/>
    </row>
    <row r="2" spans="1:14" s="154" customFormat="1" ht="19.5" customHeight="1">
      <c r="A2" s="975" t="s">
        <v>72</v>
      </c>
      <c r="B2" s="975"/>
      <c r="C2" s="975"/>
      <c r="D2" s="975"/>
      <c r="E2" s="975"/>
      <c r="F2" s="975"/>
      <c r="G2" s="975"/>
      <c r="H2" s="975"/>
      <c r="I2" s="975"/>
      <c r="J2" s="975"/>
      <c r="K2" s="975"/>
      <c r="L2" s="975"/>
      <c r="M2" s="975"/>
      <c r="N2" s="975"/>
    </row>
    <row r="3" spans="1:14" s="154" customFormat="1" ht="19.5" customHeight="1">
      <c r="B3" s="256"/>
      <c r="C3" s="256"/>
      <c r="D3" s="256"/>
      <c r="E3" s="256"/>
      <c r="F3" s="256"/>
      <c r="G3" s="267">
        <v>41455</v>
      </c>
      <c r="H3" s="256"/>
      <c r="I3" s="256"/>
      <c r="J3" s="256"/>
      <c r="K3" s="256"/>
      <c r="L3" s="256"/>
      <c r="M3" s="256"/>
      <c r="N3" s="256"/>
    </row>
    <row r="4" spans="1:14" ht="20.399999999999999" customHeight="1">
      <c r="A4" s="976"/>
      <c r="B4" s="976"/>
      <c r="C4" s="976"/>
      <c r="D4" s="976"/>
      <c r="E4" s="976"/>
      <c r="F4" s="976"/>
      <c r="G4" s="976"/>
      <c r="H4" s="976"/>
      <c r="I4" s="976"/>
      <c r="J4" s="976"/>
      <c r="K4" s="976"/>
      <c r="L4" s="976"/>
      <c r="M4" s="976"/>
      <c r="N4" s="976"/>
    </row>
    <row r="5" spans="1:14" ht="19.5" customHeight="1">
      <c r="A5" s="155"/>
      <c r="B5" s="156" t="s">
        <v>63</v>
      </c>
      <c r="C5" s="156"/>
      <c r="D5" s="977" t="s">
        <v>368</v>
      </c>
      <c r="E5" s="977"/>
      <c r="F5" s="977"/>
      <c r="G5" s="977"/>
      <c r="H5" s="977"/>
      <c r="I5" s="977"/>
      <c r="J5" s="977"/>
      <c r="K5" s="977"/>
      <c r="L5" s="977"/>
      <c r="M5" s="977"/>
      <c r="N5" s="155"/>
    </row>
    <row r="6" spans="1:14" ht="21" customHeight="1">
      <c r="A6" s="155"/>
      <c r="B6" s="977" t="s">
        <v>64</v>
      </c>
      <c r="C6" s="977"/>
      <c r="D6" s="977" t="s">
        <v>369</v>
      </c>
      <c r="E6" s="977"/>
      <c r="F6" s="977"/>
      <c r="G6" s="977"/>
      <c r="H6" s="977"/>
      <c r="I6" s="977"/>
      <c r="J6" s="977"/>
      <c r="K6" s="977"/>
      <c r="L6" s="977"/>
      <c r="M6" s="977"/>
      <c r="N6" s="155"/>
    </row>
    <row r="7" spans="1:14" ht="36" customHeight="1">
      <c r="A7" s="155"/>
      <c r="B7" s="969" t="s">
        <v>65</v>
      </c>
      <c r="C7" s="970"/>
      <c r="D7" s="971"/>
      <c r="E7" s="210" t="s">
        <v>536</v>
      </c>
      <c r="F7" s="210" t="s">
        <v>525</v>
      </c>
      <c r="G7" s="210" t="s">
        <v>743</v>
      </c>
      <c r="H7" s="157">
        <v>2014</v>
      </c>
      <c r="I7" s="157">
        <v>2015</v>
      </c>
      <c r="J7" s="157">
        <v>2016</v>
      </c>
      <c r="K7" s="157">
        <v>2017</v>
      </c>
      <c r="L7" s="158">
        <v>2018</v>
      </c>
      <c r="M7" s="159" t="s">
        <v>43</v>
      </c>
      <c r="N7" s="155"/>
    </row>
    <row r="8" spans="1:14" ht="15.75" customHeight="1">
      <c r="A8" s="155"/>
      <c r="B8" s="967" t="s">
        <v>370</v>
      </c>
      <c r="C8" s="967"/>
      <c r="D8" s="967"/>
      <c r="E8" s="160">
        <v>16198</v>
      </c>
      <c r="F8" s="160">
        <v>16198</v>
      </c>
      <c r="G8" s="160">
        <f>+G18-G10</f>
        <v>27139</v>
      </c>
      <c r="H8" s="161"/>
      <c r="I8" s="161"/>
      <c r="J8" s="161"/>
      <c r="K8" s="161"/>
      <c r="L8" s="161"/>
      <c r="M8" s="161">
        <f>SUM(G8:L8)</f>
        <v>27139</v>
      </c>
      <c r="N8" s="155"/>
    </row>
    <row r="9" spans="1:14" ht="15.75" customHeight="1">
      <c r="A9" s="155"/>
      <c r="B9" s="972" t="s">
        <v>66</v>
      </c>
      <c r="C9" s="967"/>
      <c r="D9" s="967"/>
      <c r="E9" s="160"/>
      <c r="F9" s="160"/>
      <c r="G9" s="160"/>
      <c r="H9" s="161"/>
      <c r="I9" s="161"/>
      <c r="J9" s="159"/>
      <c r="K9" s="161"/>
      <c r="L9" s="161"/>
      <c r="M9" s="161">
        <f t="shared" ref="M9:M14" si="0">SUM(G9:L9)</f>
        <v>0</v>
      </c>
      <c r="N9" s="155"/>
    </row>
    <row r="10" spans="1:14" ht="15.75" customHeight="1">
      <c r="A10" s="155"/>
      <c r="B10" s="967" t="s">
        <v>371</v>
      </c>
      <c r="C10" s="967"/>
      <c r="D10" s="967"/>
      <c r="E10" s="160">
        <v>148902</v>
      </c>
      <c r="F10" s="160">
        <v>148902</v>
      </c>
      <c r="G10" s="160">
        <v>53798</v>
      </c>
      <c r="H10" s="161"/>
      <c r="I10" s="161"/>
      <c r="J10" s="161"/>
      <c r="K10" s="161"/>
      <c r="L10" s="161"/>
      <c r="M10" s="161">
        <f t="shared" si="0"/>
        <v>53798</v>
      </c>
      <c r="N10" s="155"/>
    </row>
    <row r="11" spans="1:14" ht="15.75" customHeight="1">
      <c r="A11" s="155"/>
      <c r="B11" s="966" t="s">
        <v>67</v>
      </c>
      <c r="C11" s="966"/>
      <c r="D11" s="966"/>
      <c r="E11" s="161"/>
      <c r="F11" s="161"/>
      <c r="G11" s="161"/>
      <c r="H11" s="161"/>
      <c r="I11" s="161"/>
      <c r="J11" s="161"/>
      <c r="K11" s="161"/>
      <c r="L11" s="161"/>
      <c r="M11" s="161">
        <f t="shared" si="0"/>
        <v>0</v>
      </c>
      <c r="N11" s="155"/>
    </row>
    <row r="12" spans="1:14" ht="15.75" customHeight="1">
      <c r="A12" s="155"/>
      <c r="B12" s="966" t="s">
        <v>16</v>
      </c>
      <c r="C12" s="966"/>
      <c r="D12" s="966"/>
      <c r="E12" s="161"/>
      <c r="F12" s="161"/>
      <c r="G12" s="161"/>
      <c r="H12" s="161"/>
      <c r="I12" s="161"/>
      <c r="J12" s="159"/>
      <c r="K12" s="161"/>
      <c r="L12" s="161"/>
      <c r="M12" s="161">
        <f t="shared" si="0"/>
        <v>0</v>
      </c>
      <c r="N12" s="155"/>
    </row>
    <row r="13" spans="1:14" ht="15.75" customHeight="1">
      <c r="A13" s="155"/>
      <c r="B13" s="966" t="s">
        <v>68</v>
      </c>
      <c r="C13" s="966"/>
      <c r="D13" s="966"/>
      <c r="E13" s="161"/>
      <c r="F13" s="161"/>
      <c r="G13" s="161"/>
      <c r="H13" s="161"/>
      <c r="I13" s="161"/>
      <c r="J13" s="161"/>
      <c r="K13" s="161"/>
      <c r="L13" s="161"/>
      <c r="M13" s="161">
        <f t="shared" si="0"/>
        <v>0</v>
      </c>
      <c r="N13" s="155"/>
    </row>
    <row r="14" spans="1:14" ht="15.75" customHeight="1">
      <c r="A14" s="155"/>
      <c r="B14" s="967"/>
      <c r="C14" s="967"/>
      <c r="D14" s="967"/>
      <c r="E14" s="161"/>
      <c r="F14" s="161"/>
      <c r="G14" s="161"/>
      <c r="H14" s="161"/>
      <c r="I14" s="161"/>
      <c r="J14" s="161"/>
      <c r="K14" s="161"/>
      <c r="L14" s="161"/>
      <c r="M14" s="161">
        <f t="shared" si="0"/>
        <v>0</v>
      </c>
      <c r="N14" s="155"/>
    </row>
    <row r="15" spans="1:14" ht="15.75" customHeight="1">
      <c r="A15" s="155"/>
      <c r="B15" s="162" t="s">
        <v>69</v>
      </c>
      <c r="C15" s="156"/>
      <c r="D15" s="156"/>
      <c r="E15" s="163">
        <f>SUM(E8:E14)</f>
        <v>165100</v>
      </c>
      <c r="F15" s="163">
        <f t="shared" ref="F15:G15" si="1">SUM(F8:F14)</f>
        <v>165100</v>
      </c>
      <c r="G15" s="163">
        <f t="shared" si="1"/>
        <v>80937</v>
      </c>
      <c r="H15" s="163">
        <f t="shared" ref="H15:L15" si="2">SUM(H8:H14)</f>
        <v>0</v>
      </c>
      <c r="I15" s="163">
        <f t="shared" si="2"/>
        <v>0</v>
      </c>
      <c r="J15" s="163">
        <f t="shared" si="2"/>
        <v>0</v>
      </c>
      <c r="K15" s="163">
        <f t="shared" si="2"/>
        <v>0</v>
      </c>
      <c r="L15" s="163">
        <f t="shared" si="2"/>
        <v>0</v>
      </c>
      <c r="M15" s="163">
        <f>SUM(G15:L15)</f>
        <v>80937</v>
      </c>
      <c r="N15" s="155"/>
    </row>
    <row r="16" spans="1:14" ht="15.75" customHeight="1">
      <c r="A16" s="155"/>
      <c r="B16" s="155"/>
      <c r="C16" s="155"/>
      <c r="D16" s="155"/>
      <c r="E16" s="164"/>
      <c r="F16" s="164"/>
      <c r="G16" s="164"/>
      <c r="H16" s="164"/>
      <c r="I16" s="164"/>
      <c r="J16" s="164"/>
      <c r="K16" s="164"/>
      <c r="L16" s="164"/>
      <c r="M16" s="164"/>
      <c r="N16" s="155"/>
    </row>
    <row r="17" spans="1:14" ht="33" customHeight="1">
      <c r="A17" s="155"/>
      <c r="B17" s="969" t="s">
        <v>70</v>
      </c>
      <c r="C17" s="970"/>
      <c r="D17" s="971"/>
      <c r="E17" s="210" t="s">
        <v>536</v>
      </c>
      <c r="F17" s="210" t="s">
        <v>525</v>
      </c>
      <c r="G17" s="210" t="s">
        <v>743</v>
      </c>
      <c r="H17" s="157">
        <v>2014</v>
      </c>
      <c r="I17" s="157">
        <v>2015</v>
      </c>
      <c r="J17" s="157">
        <v>2016</v>
      </c>
      <c r="K17" s="157">
        <v>2017</v>
      </c>
      <c r="L17" s="158">
        <v>2018</v>
      </c>
      <c r="M17" s="159" t="s">
        <v>43</v>
      </c>
      <c r="N17" s="155"/>
    </row>
    <row r="18" spans="1:14" ht="15.75" customHeight="1">
      <c r="A18" s="155"/>
      <c r="B18" s="967" t="s">
        <v>372</v>
      </c>
      <c r="C18" s="967"/>
      <c r="D18" s="967"/>
      <c r="E18" s="161">
        <v>165100</v>
      </c>
      <c r="F18" s="161">
        <f>+D18+E18</f>
        <v>165100</v>
      </c>
      <c r="G18" s="161">
        <v>80937</v>
      </c>
      <c r="H18" s="161"/>
      <c r="I18" s="161"/>
      <c r="J18" s="161"/>
      <c r="K18" s="161"/>
      <c r="L18" s="161"/>
      <c r="M18" s="161">
        <f t="shared" ref="M18:M23" si="3">SUM(G18:L18)</f>
        <v>80937</v>
      </c>
      <c r="N18" s="155"/>
    </row>
    <row r="19" spans="1:14" ht="15.75" customHeight="1">
      <c r="A19" s="155"/>
      <c r="B19" s="969"/>
      <c r="C19" s="970"/>
      <c r="D19" s="971"/>
      <c r="E19" s="161"/>
      <c r="F19" s="161"/>
      <c r="G19" s="161"/>
      <c r="H19" s="161"/>
      <c r="I19" s="161"/>
      <c r="J19" s="161"/>
      <c r="K19" s="161"/>
      <c r="L19" s="161"/>
      <c r="M19" s="161">
        <f t="shared" si="3"/>
        <v>0</v>
      </c>
      <c r="N19" s="155"/>
    </row>
    <row r="20" spans="1:14" ht="15.75" customHeight="1">
      <c r="A20" s="155"/>
      <c r="B20" s="967"/>
      <c r="C20" s="967"/>
      <c r="D20" s="967"/>
      <c r="E20" s="161"/>
      <c r="F20" s="161"/>
      <c r="G20" s="161"/>
      <c r="H20" s="161"/>
      <c r="I20" s="161"/>
      <c r="J20" s="161"/>
      <c r="K20" s="161"/>
      <c r="L20" s="161"/>
      <c r="M20" s="161">
        <f t="shared" si="3"/>
        <v>0</v>
      </c>
      <c r="N20" s="155"/>
    </row>
    <row r="21" spans="1:14" ht="15.75" customHeight="1">
      <c r="A21" s="155"/>
      <c r="B21" s="966"/>
      <c r="C21" s="966"/>
      <c r="D21" s="966"/>
      <c r="E21" s="161"/>
      <c r="F21" s="161"/>
      <c r="G21" s="161"/>
      <c r="H21" s="161"/>
      <c r="I21" s="161"/>
      <c r="J21" s="161"/>
      <c r="K21" s="161"/>
      <c r="L21" s="161"/>
      <c r="M21" s="161">
        <f t="shared" si="3"/>
        <v>0</v>
      </c>
      <c r="N21" s="155"/>
    </row>
    <row r="22" spans="1:14" ht="15.75" customHeight="1">
      <c r="A22" s="155"/>
      <c r="B22" s="967"/>
      <c r="C22" s="967"/>
      <c r="D22" s="967"/>
      <c r="E22" s="161"/>
      <c r="F22" s="161"/>
      <c r="G22" s="161"/>
      <c r="H22" s="161"/>
      <c r="I22" s="161"/>
      <c r="J22" s="161"/>
      <c r="K22" s="161"/>
      <c r="L22" s="161"/>
      <c r="M22" s="161">
        <f t="shared" si="3"/>
        <v>0</v>
      </c>
      <c r="N22" s="155"/>
    </row>
    <row r="23" spans="1:14" ht="15.75" customHeight="1">
      <c r="A23" s="155"/>
      <c r="B23" s="968" t="s">
        <v>71</v>
      </c>
      <c r="C23" s="967"/>
      <c r="D23" s="967"/>
      <c r="E23" s="163">
        <f>SUM(E18:E22)</f>
        <v>165100</v>
      </c>
      <c r="F23" s="163">
        <f t="shared" ref="F23:G23" si="4">SUM(F18:F22)</f>
        <v>165100</v>
      </c>
      <c r="G23" s="163">
        <f t="shared" si="4"/>
        <v>80937</v>
      </c>
      <c r="H23" s="163">
        <f t="shared" ref="H23:L23" si="5">SUM(H18:H22)</f>
        <v>0</v>
      </c>
      <c r="I23" s="163">
        <f t="shared" si="5"/>
        <v>0</v>
      </c>
      <c r="J23" s="163">
        <f t="shared" si="5"/>
        <v>0</v>
      </c>
      <c r="K23" s="163">
        <f t="shared" si="5"/>
        <v>0</v>
      </c>
      <c r="L23" s="163">
        <f t="shared" si="5"/>
        <v>0</v>
      </c>
      <c r="M23" s="163">
        <f t="shared" si="3"/>
        <v>80937</v>
      </c>
      <c r="N23" s="155"/>
    </row>
    <row r="24" spans="1:14">
      <c r="A24" s="155"/>
      <c r="B24" s="165"/>
      <c r="C24" s="166"/>
      <c r="D24" s="166"/>
      <c r="E24" s="167"/>
      <c r="F24" s="167"/>
      <c r="G24" s="167"/>
      <c r="H24" s="167"/>
      <c r="I24" s="167"/>
      <c r="J24" s="167"/>
      <c r="K24" s="167"/>
      <c r="L24" s="168"/>
      <c r="M24" s="169"/>
      <c r="N24" s="155"/>
    </row>
    <row r="90" ht="18" customHeight="1"/>
  </sheetData>
  <mergeCells count="21">
    <mergeCell ref="L1:N1"/>
    <mergeCell ref="A2:N2"/>
    <mergeCell ref="A4:N4"/>
    <mergeCell ref="D5:M5"/>
    <mergeCell ref="B6:C6"/>
    <mergeCell ref="D6:M6"/>
    <mergeCell ref="B21:D21"/>
    <mergeCell ref="B22:D22"/>
    <mergeCell ref="B23:D23"/>
    <mergeCell ref="B20:D20"/>
    <mergeCell ref="B7:D7"/>
    <mergeCell ref="B8:D8"/>
    <mergeCell ref="B9:D9"/>
    <mergeCell ref="B10:D10"/>
    <mergeCell ref="B11:D11"/>
    <mergeCell ref="B12:D12"/>
    <mergeCell ref="B13:D13"/>
    <mergeCell ref="B14:D14"/>
    <mergeCell ref="B17:D17"/>
    <mergeCell ref="B18:D18"/>
    <mergeCell ref="B19:D19"/>
  </mergeCells>
  <printOptions horizontalCentered="1"/>
  <pageMargins left="0.23622047244094491" right="0.23622047244094491" top="0.31496062992125984" bottom="0.15748031496062992" header="0.15748031496062992" footer="0.19685039370078741"/>
  <pageSetup paperSize="9" scale="80" orientation="landscape" r:id="rId1"/>
  <headerFooter alignWithMargins="0">
    <oddHeader>&amp;LVeresegyház Város Önkormányzat</oddHeader>
    <oddFooter>&amp;LVeresegyház, 2013. Szeptember 03.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M92"/>
  <sheetViews>
    <sheetView topLeftCell="A13" workbookViewId="0">
      <selection activeCell="P17" sqref="P17"/>
    </sheetView>
  </sheetViews>
  <sheetFormatPr defaultColWidth="9.109375" defaultRowHeight="14.4"/>
  <cols>
    <col min="1" max="1" width="8.5546875" style="457" customWidth="1"/>
    <col min="2" max="2" width="13.109375" style="372" customWidth="1"/>
    <col min="3" max="3" width="12.88671875" style="372" customWidth="1"/>
    <col min="4" max="4" width="11.33203125" style="372" customWidth="1"/>
    <col min="5" max="5" width="9.88671875" style="458" customWidth="1"/>
    <col min="6" max="7" width="9.109375" style="372"/>
    <col min="8" max="8" width="9.33203125" style="372" bestFit="1" customWidth="1"/>
    <col min="9" max="9" width="9.109375" style="372"/>
    <col min="10" max="10" width="11.6640625" style="372" bestFit="1" customWidth="1"/>
    <col min="11" max="11" width="12.88671875" style="372" customWidth="1"/>
    <col min="12" max="12" width="9.109375" style="372"/>
    <col min="13" max="13" width="9.88671875" style="372" customWidth="1"/>
    <col min="14" max="16384" width="9.109375" style="372"/>
  </cols>
  <sheetData>
    <row r="1" spans="1:13">
      <c r="M1" s="459" t="s">
        <v>411</v>
      </c>
    </row>
    <row r="2" spans="1:13" ht="30.6">
      <c r="A2" s="364" t="s">
        <v>413</v>
      </c>
      <c r="B2" s="365" t="s">
        <v>414</v>
      </c>
      <c r="C2" s="366" t="s">
        <v>415</v>
      </c>
      <c r="D2" s="978" t="s">
        <v>416</v>
      </c>
      <c r="E2" s="979"/>
      <c r="F2" s="367" t="s">
        <v>407</v>
      </c>
      <c r="G2" s="368"/>
      <c r="H2" s="369" t="s">
        <v>406</v>
      </c>
      <c r="I2" s="369" t="s">
        <v>405</v>
      </c>
      <c r="J2" s="366" t="s">
        <v>578</v>
      </c>
      <c r="K2" s="366" t="s">
        <v>417</v>
      </c>
      <c r="L2" s="370" t="s">
        <v>403</v>
      </c>
      <c r="M2" s="371"/>
    </row>
    <row r="3" spans="1:13" ht="18.75" customHeight="1">
      <c r="A3" s="373" t="s">
        <v>418</v>
      </c>
      <c r="B3" s="374" t="s">
        <v>419</v>
      </c>
      <c r="C3" s="375">
        <v>113797075</v>
      </c>
      <c r="D3" s="376" t="s">
        <v>420</v>
      </c>
      <c r="E3" s="377"/>
      <c r="F3" s="378" t="s">
        <v>421</v>
      </c>
      <c r="G3" s="379"/>
      <c r="H3" s="380">
        <v>40908</v>
      </c>
      <c r="I3" s="381"/>
      <c r="J3" s="375"/>
      <c r="K3" s="382">
        <f>SUM(C3-J3)</f>
        <v>113797075</v>
      </c>
      <c r="L3" s="383">
        <v>273131</v>
      </c>
      <c r="M3" s="384" t="s">
        <v>422</v>
      </c>
    </row>
    <row r="4" spans="1:13" ht="18.75" customHeight="1">
      <c r="A4" s="385" t="s">
        <v>423</v>
      </c>
      <c r="B4" s="386" t="s">
        <v>424</v>
      </c>
      <c r="C4" s="387">
        <v>193894</v>
      </c>
      <c r="D4" s="388" t="s">
        <v>425</v>
      </c>
      <c r="E4" s="389" t="s">
        <v>426</v>
      </c>
      <c r="F4" s="390"/>
      <c r="G4" s="391"/>
      <c r="H4" s="392"/>
      <c r="I4" s="391">
        <v>41432</v>
      </c>
      <c r="J4" s="387">
        <v>10000</v>
      </c>
      <c r="K4" s="382">
        <f t="shared" ref="K4:K23" si="0">SUM(C4-J4)</f>
        <v>183894</v>
      </c>
      <c r="L4" s="393">
        <v>27314</v>
      </c>
      <c r="M4" s="384" t="s">
        <v>427</v>
      </c>
    </row>
    <row r="5" spans="1:13" ht="18.75" customHeight="1">
      <c r="A5" s="385">
        <v>39597</v>
      </c>
      <c r="B5" s="394" t="s">
        <v>428</v>
      </c>
      <c r="C5" s="387">
        <v>72895</v>
      </c>
      <c r="D5" s="388" t="s">
        <v>425</v>
      </c>
      <c r="E5" s="395" t="s">
        <v>426</v>
      </c>
      <c r="F5" s="396"/>
      <c r="G5" s="397"/>
      <c r="H5" s="392"/>
      <c r="I5" s="392"/>
      <c r="J5" s="387"/>
      <c r="K5" s="382">
        <f t="shared" si="0"/>
        <v>72895</v>
      </c>
      <c r="L5" s="393">
        <v>27314</v>
      </c>
      <c r="M5" s="384" t="s">
        <v>427</v>
      </c>
    </row>
    <row r="6" spans="1:13" ht="18.75" customHeight="1">
      <c r="A6" s="385">
        <v>39100</v>
      </c>
      <c r="B6" s="394" t="s">
        <v>429</v>
      </c>
      <c r="C6" s="387">
        <v>151317</v>
      </c>
      <c r="D6" s="388" t="s">
        <v>430</v>
      </c>
      <c r="E6" s="398"/>
      <c r="F6" s="390"/>
      <c r="G6" s="381" t="s">
        <v>431</v>
      </c>
      <c r="H6" s="399"/>
      <c r="I6" s="392"/>
      <c r="J6" s="387"/>
      <c r="K6" s="382">
        <f t="shared" si="0"/>
        <v>151317</v>
      </c>
      <c r="L6" s="393">
        <v>27314</v>
      </c>
      <c r="M6" s="384" t="s">
        <v>427</v>
      </c>
    </row>
    <row r="7" spans="1:13" ht="18.75" customHeight="1">
      <c r="A7" s="385" t="s">
        <v>432</v>
      </c>
      <c r="B7" s="394" t="s">
        <v>433</v>
      </c>
      <c r="C7" s="387">
        <v>11000000</v>
      </c>
      <c r="D7" s="388" t="s">
        <v>430</v>
      </c>
      <c r="E7" s="400"/>
      <c r="F7" s="390" t="s">
        <v>421</v>
      </c>
      <c r="G7" s="391"/>
      <c r="H7" s="392"/>
      <c r="I7" s="392"/>
      <c r="J7" s="387">
        <v>750000</v>
      </c>
      <c r="K7" s="382">
        <f t="shared" si="0"/>
        <v>10250000</v>
      </c>
      <c r="L7" s="393">
        <v>27315</v>
      </c>
      <c r="M7" s="384" t="s">
        <v>434</v>
      </c>
    </row>
    <row r="8" spans="1:13" ht="18.75" customHeight="1">
      <c r="A8" s="385">
        <v>37232</v>
      </c>
      <c r="B8" s="394" t="s">
        <v>435</v>
      </c>
      <c r="C8" s="387">
        <v>8692183</v>
      </c>
      <c r="D8" s="388" t="s">
        <v>430</v>
      </c>
      <c r="E8" s="398"/>
      <c r="F8" s="390"/>
      <c r="G8" s="391"/>
      <c r="H8" s="392"/>
      <c r="I8" s="381"/>
      <c r="J8" s="387"/>
      <c r="K8" s="382">
        <f t="shared" si="0"/>
        <v>8692183</v>
      </c>
      <c r="L8" s="393">
        <v>278222</v>
      </c>
      <c r="M8" s="384" t="s">
        <v>436</v>
      </c>
    </row>
    <row r="9" spans="1:13" s="406" customFormat="1" ht="18.75" customHeight="1">
      <c r="A9" s="385">
        <v>40268</v>
      </c>
      <c r="B9" s="401" t="s">
        <v>437</v>
      </c>
      <c r="C9" s="387">
        <v>38240</v>
      </c>
      <c r="D9" s="402" t="s">
        <v>425</v>
      </c>
      <c r="E9" s="398" t="s">
        <v>438</v>
      </c>
      <c r="F9" s="403"/>
      <c r="G9" s="404"/>
      <c r="H9" s="405"/>
      <c r="I9" s="405"/>
      <c r="J9" s="387"/>
      <c r="K9" s="382">
        <f t="shared" si="0"/>
        <v>38240</v>
      </c>
      <c r="L9" s="393">
        <v>27314</v>
      </c>
      <c r="M9" s="384" t="s">
        <v>427</v>
      </c>
    </row>
    <row r="10" spans="1:13" ht="18.75" customHeight="1">
      <c r="A10" s="385">
        <v>40359</v>
      </c>
      <c r="B10" s="394" t="s">
        <v>439</v>
      </c>
      <c r="C10" s="387">
        <v>437000</v>
      </c>
      <c r="D10" s="388" t="s">
        <v>440</v>
      </c>
      <c r="E10" s="398"/>
      <c r="F10" s="390"/>
      <c r="G10" s="391"/>
      <c r="H10" s="392"/>
      <c r="I10" s="392" t="s">
        <v>390</v>
      </c>
      <c r="J10" s="387">
        <v>140000</v>
      </c>
      <c r="K10" s="382">
        <f t="shared" si="0"/>
        <v>297000</v>
      </c>
      <c r="L10" s="393">
        <v>27314</v>
      </c>
      <c r="M10" s="384" t="s">
        <v>427</v>
      </c>
    </row>
    <row r="11" spans="1:13" ht="18.75" customHeight="1">
      <c r="A11" s="385">
        <v>40366</v>
      </c>
      <c r="B11" s="394" t="s">
        <v>441</v>
      </c>
      <c r="C11" s="387">
        <v>35906849</v>
      </c>
      <c r="D11" s="388" t="s">
        <v>430</v>
      </c>
      <c r="E11" s="398" t="s">
        <v>442</v>
      </c>
      <c r="F11" s="390">
        <v>0.22</v>
      </c>
      <c r="G11" s="381" t="s">
        <v>443</v>
      </c>
      <c r="H11" s="407">
        <v>40694</v>
      </c>
      <c r="I11" s="381"/>
      <c r="J11" s="387"/>
      <c r="K11" s="382">
        <f t="shared" si="0"/>
        <v>35906849</v>
      </c>
      <c r="L11" s="393">
        <v>273132</v>
      </c>
      <c r="M11" s="384" t="s">
        <v>444</v>
      </c>
    </row>
    <row r="12" spans="1:13" ht="18.75" customHeight="1">
      <c r="A12" s="408">
        <v>40402</v>
      </c>
      <c r="B12" s="409" t="s">
        <v>445</v>
      </c>
      <c r="C12" s="410">
        <v>3300000</v>
      </c>
      <c r="D12" s="411" t="s">
        <v>446</v>
      </c>
      <c r="E12" s="412" t="s">
        <v>447</v>
      </c>
      <c r="F12" s="413" t="s">
        <v>421</v>
      </c>
      <c r="G12" s="414"/>
      <c r="H12" s="415" t="s">
        <v>448</v>
      </c>
      <c r="I12" s="416">
        <v>41387</v>
      </c>
      <c r="J12" s="410">
        <v>1025300</v>
      </c>
      <c r="K12" s="417">
        <f t="shared" si="0"/>
        <v>2274700</v>
      </c>
      <c r="L12" s="418">
        <v>194434</v>
      </c>
      <c r="M12" s="419" t="s">
        <v>449</v>
      </c>
    </row>
    <row r="13" spans="1:13" ht="18.75" customHeight="1">
      <c r="A13" s="385">
        <v>40450</v>
      </c>
      <c r="B13" s="394" t="s">
        <v>450</v>
      </c>
      <c r="C13" s="387">
        <v>1810000</v>
      </c>
      <c r="D13" s="388" t="s">
        <v>440</v>
      </c>
      <c r="E13" s="398"/>
      <c r="F13" s="390" t="s">
        <v>421</v>
      </c>
      <c r="G13" s="391"/>
      <c r="H13" s="392">
        <v>42343</v>
      </c>
      <c r="I13" s="420"/>
      <c r="J13" s="387">
        <v>560000</v>
      </c>
      <c r="K13" s="382">
        <f t="shared" si="0"/>
        <v>1250000</v>
      </c>
      <c r="L13" s="393">
        <v>27314</v>
      </c>
      <c r="M13" s="384" t="s">
        <v>427</v>
      </c>
    </row>
    <row r="14" spans="1:13" ht="18.75" customHeight="1">
      <c r="A14" s="385">
        <v>40500</v>
      </c>
      <c r="B14" s="421" t="s">
        <v>451</v>
      </c>
      <c r="C14" s="387">
        <v>100000</v>
      </c>
      <c r="D14" s="388" t="s">
        <v>430</v>
      </c>
      <c r="E14" s="398"/>
      <c r="F14" s="390" t="s">
        <v>421</v>
      </c>
      <c r="G14" s="391"/>
      <c r="H14" s="392">
        <v>40633</v>
      </c>
      <c r="I14" s="392">
        <v>41290</v>
      </c>
      <c r="J14" s="387">
        <v>100000</v>
      </c>
      <c r="K14" s="382">
        <f t="shared" si="0"/>
        <v>0</v>
      </c>
      <c r="L14" s="393">
        <v>27315</v>
      </c>
      <c r="M14" s="384" t="s">
        <v>434</v>
      </c>
    </row>
    <row r="15" spans="1:13" ht="18.75" customHeight="1">
      <c r="A15" s="385" t="s">
        <v>452</v>
      </c>
      <c r="B15" s="421" t="s">
        <v>453</v>
      </c>
      <c r="C15" s="387">
        <v>82772</v>
      </c>
      <c r="D15" s="388" t="s">
        <v>430</v>
      </c>
      <c r="E15" s="398"/>
      <c r="F15" s="390" t="s">
        <v>421</v>
      </c>
      <c r="G15" s="391"/>
      <c r="H15" s="392" t="s">
        <v>454</v>
      </c>
      <c r="I15" s="381">
        <v>41453</v>
      </c>
      <c r="J15" s="387">
        <v>82772</v>
      </c>
      <c r="K15" s="382">
        <f t="shared" si="0"/>
        <v>0</v>
      </c>
      <c r="L15" s="393"/>
      <c r="M15" s="384" t="s">
        <v>455</v>
      </c>
    </row>
    <row r="16" spans="1:13" ht="18.75" customHeight="1">
      <c r="A16" s="385" t="s">
        <v>456</v>
      </c>
      <c r="B16" s="422" t="s">
        <v>457</v>
      </c>
      <c r="C16" s="382">
        <v>54212</v>
      </c>
      <c r="D16" s="423" t="s">
        <v>425</v>
      </c>
      <c r="E16" s="424"/>
      <c r="F16" s="390" t="s">
        <v>421</v>
      </c>
      <c r="G16" s="425"/>
      <c r="H16" s="426">
        <v>41131</v>
      </c>
      <c r="I16" s="426">
        <v>41369</v>
      </c>
      <c r="J16" s="382">
        <v>2000</v>
      </c>
      <c r="K16" s="382">
        <f t="shared" si="0"/>
        <v>52212</v>
      </c>
      <c r="L16" s="393">
        <v>27314</v>
      </c>
      <c r="M16" s="384" t="s">
        <v>427</v>
      </c>
    </row>
    <row r="17" spans="1:13" ht="18.75" customHeight="1">
      <c r="A17" s="385">
        <v>41058</v>
      </c>
      <c r="B17" s="422" t="s">
        <v>458</v>
      </c>
      <c r="C17" s="382">
        <v>6000000</v>
      </c>
      <c r="D17" s="423" t="s">
        <v>430</v>
      </c>
      <c r="E17" s="424"/>
      <c r="F17" s="427" t="s">
        <v>421</v>
      </c>
      <c r="G17" s="425"/>
      <c r="H17" s="426">
        <v>41172</v>
      </c>
      <c r="I17" s="426"/>
      <c r="J17" s="382"/>
      <c r="K17" s="382">
        <f t="shared" si="0"/>
        <v>6000000</v>
      </c>
      <c r="L17" s="428"/>
      <c r="M17" s="429" t="s">
        <v>455</v>
      </c>
    </row>
    <row r="18" spans="1:13" ht="18.75" customHeight="1">
      <c r="A18" s="385">
        <v>41101</v>
      </c>
      <c r="B18" s="422" t="s">
        <v>459</v>
      </c>
      <c r="C18" s="382">
        <v>5880000</v>
      </c>
      <c r="D18" s="423" t="s">
        <v>440</v>
      </c>
      <c r="E18" s="424"/>
      <c r="F18" s="427" t="s">
        <v>421</v>
      </c>
      <c r="G18" s="425"/>
      <c r="H18" s="426">
        <v>41983</v>
      </c>
      <c r="I18" s="426"/>
      <c r="J18" s="382"/>
      <c r="K18" s="382">
        <f t="shared" si="0"/>
        <v>5880000</v>
      </c>
      <c r="L18" s="393">
        <v>27314</v>
      </c>
      <c r="M18" s="429" t="s">
        <v>427</v>
      </c>
    </row>
    <row r="19" spans="1:13" ht="18.75" customHeight="1">
      <c r="A19" s="385">
        <v>41152</v>
      </c>
      <c r="B19" s="430" t="s">
        <v>460</v>
      </c>
      <c r="C19" s="382">
        <v>2400699</v>
      </c>
      <c r="D19" s="423" t="s">
        <v>461</v>
      </c>
      <c r="E19" s="424"/>
      <c r="F19" s="427" t="s">
        <v>421</v>
      </c>
      <c r="G19" s="425"/>
      <c r="H19" s="426"/>
      <c r="I19" s="426"/>
      <c r="J19" s="382"/>
      <c r="K19" s="382">
        <f t="shared" si="0"/>
        <v>2400699</v>
      </c>
      <c r="L19" s="393">
        <v>27314</v>
      </c>
      <c r="M19" s="429" t="s">
        <v>427</v>
      </c>
    </row>
    <row r="20" spans="1:13" ht="18.75" customHeight="1">
      <c r="A20" s="385">
        <v>41228</v>
      </c>
      <c r="B20" s="430" t="s">
        <v>460</v>
      </c>
      <c r="C20" s="382">
        <v>273000</v>
      </c>
      <c r="D20" s="423" t="s">
        <v>462</v>
      </c>
      <c r="E20" s="424"/>
      <c r="F20" s="427" t="s">
        <v>421</v>
      </c>
      <c r="G20" s="425" t="s">
        <v>463</v>
      </c>
      <c r="H20" s="426">
        <v>41567</v>
      </c>
      <c r="I20" s="426">
        <v>41297</v>
      </c>
      <c r="J20" s="382">
        <v>75000</v>
      </c>
      <c r="K20" s="382">
        <f t="shared" si="0"/>
        <v>198000</v>
      </c>
      <c r="L20" s="428"/>
      <c r="M20" s="429" t="s">
        <v>434</v>
      </c>
    </row>
    <row r="21" spans="1:13" ht="18.75" customHeight="1">
      <c r="A21" s="385">
        <v>41262</v>
      </c>
      <c r="B21" s="422" t="s">
        <v>464</v>
      </c>
      <c r="C21" s="382">
        <v>200000</v>
      </c>
      <c r="D21" s="423" t="s">
        <v>440</v>
      </c>
      <c r="E21" s="424"/>
      <c r="F21" s="427" t="s">
        <v>421</v>
      </c>
      <c r="G21" s="425"/>
      <c r="H21" s="426">
        <v>41320</v>
      </c>
      <c r="I21" s="426">
        <v>41299</v>
      </c>
      <c r="J21" s="382">
        <v>200000</v>
      </c>
      <c r="K21" s="382">
        <f t="shared" si="0"/>
        <v>0</v>
      </c>
      <c r="L21" s="428"/>
      <c r="M21" s="429" t="s">
        <v>427</v>
      </c>
    </row>
    <row r="22" spans="1:13" ht="18.75" customHeight="1">
      <c r="A22" s="385">
        <v>41262</v>
      </c>
      <c r="B22" s="422" t="s">
        <v>465</v>
      </c>
      <c r="C22" s="382">
        <v>200000</v>
      </c>
      <c r="D22" s="423" t="s">
        <v>440</v>
      </c>
      <c r="E22" s="424"/>
      <c r="F22" s="427" t="s">
        <v>421</v>
      </c>
      <c r="G22" s="425"/>
      <c r="H22" s="426">
        <v>41320</v>
      </c>
      <c r="I22" s="426">
        <v>41299</v>
      </c>
      <c r="J22" s="382">
        <v>200000</v>
      </c>
      <c r="K22" s="382">
        <f t="shared" si="0"/>
        <v>0</v>
      </c>
      <c r="L22" s="428"/>
      <c r="M22" s="429" t="s">
        <v>427</v>
      </c>
    </row>
    <row r="23" spans="1:13" ht="18.75" customHeight="1">
      <c r="A23" s="385">
        <v>41251</v>
      </c>
      <c r="B23" s="422" t="s">
        <v>579</v>
      </c>
      <c r="C23" s="382">
        <v>19177000</v>
      </c>
      <c r="D23" s="423" t="s">
        <v>580</v>
      </c>
      <c r="E23" s="424"/>
      <c r="F23" s="427" t="s">
        <v>421</v>
      </c>
      <c r="G23" s="425"/>
      <c r="H23" s="426"/>
      <c r="I23" s="426"/>
      <c r="J23" s="431"/>
      <c r="K23" s="382">
        <f t="shared" si="0"/>
        <v>19177000</v>
      </c>
      <c r="L23" s="432"/>
      <c r="M23" s="384" t="s">
        <v>444</v>
      </c>
    </row>
    <row r="24" spans="1:13" ht="18.75" customHeight="1">
      <c r="A24" s="433"/>
      <c r="B24" s="434" t="s">
        <v>581</v>
      </c>
      <c r="C24" s="435">
        <f>SUM(C3:C23)</f>
        <v>209767136</v>
      </c>
      <c r="D24" s="436"/>
      <c r="E24" s="437"/>
      <c r="F24" s="438"/>
      <c r="G24" s="439"/>
      <c r="H24" s="440"/>
      <c r="I24" s="440"/>
      <c r="J24" s="441"/>
      <c r="K24" s="435"/>
      <c r="L24" s="442"/>
      <c r="M24" s="443"/>
    </row>
    <row r="25" spans="1:13" ht="18.75" customHeight="1">
      <c r="A25" s="385">
        <v>41361</v>
      </c>
      <c r="B25" s="422" t="s">
        <v>582</v>
      </c>
      <c r="C25" s="382">
        <v>30000000</v>
      </c>
      <c r="D25" s="423" t="s">
        <v>583</v>
      </c>
      <c r="E25" s="424"/>
      <c r="F25" s="427" t="s">
        <v>421</v>
      </c>
      <c r="G25" s="425"/>
      <c r="H25" s="426">
        <v>41425</v>
      </c>
      <c r="I25" s="426">
        <v>41418</v>
      </c>
      <c r="J25" s="431">
        <v>30000000</v>
      </c>
      <c r="K25" s="382">
        <f>SUM(C25-J25)</f>
        <v>0</v>
      </c>
      <c r="L25" s="432"/>
      <c r="M25" s="384" t="s">
        <v>444</v>
      </c>
    </row>
    <row r="26" spans="1:13" ht="18.75" customHeight="1">
      <c r="A26" s="385">
        <v>41422</v>
      </c>
      <c r="B26" s="422" t="s">
        <v>458</v>
      </c>
      <c r="C26" s="382">
        <v>15000000</v>
      </c>
      <c r="D26" s="423" t="s">
        <v>584</v>
      </c>
      <c r="E26" s="424"/>
      <c r="F26" s="427" t="s">
        <v>421</v>
      </c>
      <c r="G26" s="425"/>
      <c r="H26" s="426">
        <v>41547</v>
      </c>
      <c r="I26" s="426"/>
      <c r="J26" s="431"/>
      <c r="K26" s="382">
        <f>SUM(C26-J26)</f>
        <v>15000000</v>
      </c>
      <c r="L26" s="432"/>
      <c r="M26" s="384" t="s">
        <v>455</v>
      </c>
    </row>
    <row r="27" spans="1:13" ht="18.75" customHeight="1">
      <c r="A27" s="385"/>
      <c r="B27" s="422"/>
      <c r="C27" s="382"/>
      <c r="D27" s="423"/>
      <c r="E27" s="424"/>
      <c r="F27" s="427"/>
      <c r="G27" s="425"/>
      <c r="H27" s="426"/>
      <c r="I27" s="426"/>
      <c r="J27" s="431"/>
      <c r="K27" s="382"/>
      <c r="L27" s="432"/>
      <c r="M27" s="384"/>
    </row>
    <row r="28" spans="1:13" ht="18.75" customHeight="1">
      <c r="A28" s="444"/>
      <c r="B28" s="422"/>
      <c r="C28" s="382"/>
      <c r="D28" s="423"/>
      <c r="E28" s="424"/>
      <c r="F28" s="427"/>
      <c r="G28" s="425"/>
      <c r="H28" s="426"/>
      <c r="I28" s="426"/>
      <c r="J28" s="431"/>
      <c r="K28" s="382"/>
      <c r="L28" s="432"/>
      <c r="M28" s="384"/>
    </row>
    <row r="29" spans="1:13" ht="18.75" customHeight="1">
      <c r="A29" s="444"/>
      <c r="B29" s="422"/>
      <c r="C29" s="382"/>
      <c r="D29" s="423"/>
      <c r="E29" s="424"/>
      <c r="F29" s="427"/>
      <c r="G29" s="425"/>
      <c r="H29" s="426"/>
      <c r="I29" s="426"/>
      <c r="J29" s="431"/>
      <c r="K29" s="382"/>
      <c r="L29" s="432"/>
      <c r="M29" s="384"/>
    </row>
    <row r="30" spans="1:13" s="406" customFormat="1" ht="18.75" customHeight="1">
      <c r="A30" s="445"/>
      <c r="B30" s="446"/>
      <c r="C30" s="447"/>
      <c r="D30" s="448"/>
      <c r="E30" s="449"/>
      <c r="F30" s="450"/>
      <c r="G30" s="451"/>
      <c r="H30" s="452"/>
      <c r="I30" s="452"/>
      <c r="J30" s="453"/>
      <c r="K30" s="447">
        <f>SUM(K3:K29)</f>
        <v>221622064</v>
      </c>
      <c r="L30" s="454"/>
      <c r="M30" s="455"/>
    </row>
    <row r="31" spans="1:13" s="406" customFormat="1" ht="18.75" customHeight="1">
      <c r="A31" s="980" t="s">
        <v>585</v>
      </c>
      <c r="B31" s="981"/>
      <c r="C31" s="447">
        <f>SUM(C25:C30)</f>
        <v>45000000</v>
      </c>
      <c r="D31" s="448"/>
      <c r="E31" s="449"/>
      <c r="F31" s="450"/>
      <c r="G31" s="451"/>
      <c r="H31" s="452"/>
      <c r="I31" s="452"/>
      <c r="J31" s="453">
        <f>SUM(J3:J25)</f>
        <v>33145072</v>
      </c>
      <c r="K31" s="447">
        <f>SUM(C24+C31-J31)</f>
        <v>221622064</v>
      </c>
      <c r="L31" s="454"/>
      <c r="M31" s="456"/>
    </row>
    <row r="92" ht="18" customHeight="1"/>
  </sheetData>
  <mergeCells count="2">
    <mergeCell ref="D2:E2"/>
    <mergeCell ref="A31:B31"/>
  </mergeCells>
  <printOptions horizontalCentered="1"/>
  <pageMargins left="0.23622047244094491" right="0.23622047244094491" top="0.82677165354330717" bottom="0.15748031496062992" header="0.15748031496062992" footer="0.19685039370078741"/>
  <pageSetup paperSize="9" scale="80" orientation="landscape" r:id="rId1"/>
  <headerFooter alignWithMargins="0">
    <oddHeader>&amp;LVeresegyház Város Önkormányzat&amp;CADOTT KÖLCSÖNÖK  ÁLLOMÁNYA
2013.06.30.&amp;R28. számú melléklet</oddHeader>
    <oddFooter>&amp;LVeresegyház, 2013. Szeptember 03.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P35"/>
  <sheetViews>
    <sheetView topLeftCell="A7" workbookViewId="0">
      <selection activeCell="J16" activeCellId="1" sqref="J14 J16"/>
    </sheetView>
  </sheetViews>
  <sheetFormatPr defaultColWidth="9.109375" defaultRowHeight="14.4"/>
  <cols>
    <col min="1" max="1" width="7.5546875" style="290" customWidth="1"/>
    <col min="2" max="2" width="12.5546875" style="290" customWidth="1"/>
    <col min="3" max="3" width="11.44140625" style="290" customWidth="1"/>
    <col min="4" max="4" width="7.88671875" style="362" customWidth="1"/>
    <col min="5" max="5" width="8.5546875" style="363" customWidth="1"/>
    <col min="6" max="6" width="6.88671875" style="362" customWidth="1"/>
    <col min="7" max="7" width="6.33203125" style="362" customWidth="1"/>
    <col min="8" max="9" width="9.33203125" style="290" bestFit="1" customWidth="1"/>
    <col min="10" max="10" width="12.21875" style="290" customWidth="1"/>
    <col min="11" max="11" width="13.33203125" style="290" customWidth="1"/>
    <col min="12" max="12" width="11.5546875" style="290" customWidth="1"/>
    <col min="13" max="13" width="6.6640625" style="290" customWidth="1"/>
    <col min="14" max="14" width="13.33203125" style="361" customWidth="1"/>
    <col min="15" max="15" width="8.88671875" style="361" customWidth="1"/>
    <col min="16" max="16" width="13.109375" style="289" bestFit="1" customWidth="1"/>
    <col min="17" max="16384" width="9.109375" style="290"/>
  </cols>
  <sheetData>
    <row r="1" spans="1:16">
      <c r="O1" s="361" t="s">
        <v>411</v>
      </c>
    </row>
    <row r="2" spans="1:16" ht="30.6">
      <c r="A2" s="281" t="s">
        <v>410</v>
      </c>
      <c r="B2" s="282" t="s">
        <v>409</v>
      </c>
      <c r="C2" s="283" t="s">
        <v>408</v>
      </c>
      <c r="D2" s="284"/>
      <c r="E2" s="986" t="s">
        <v>407</v>
      </c>
      <c r="F2" s="987"/>
      <c r="G2" s="285"/>
      <c r="H2" s="281" t="s">
        <v>406</v>
      </c>
      <c r="I2" s="281" t="s">
        <v>405</v>
      </c>
      <c r="J2" s="283" t="s">
        <v>564</v>
      </c>
      <c r="K2" s="283" t="s">
        <v>565</v>
      </c>
      <c r="L2" s="283" t="s">
        <v>404</v>
      </c>
      <c r="M2" s="286" t="s">
        <v>403</v>
      </c>
      <c r="N2" s="287" t="s">
        <v>566</v>
      </c>
      <c r="O2" s="288" t="s">
        <v>402</v>
      </c>
    </row>
    <row r="3" spans="1:16" s="301" customFormat="1" ht="18.75" customHeight="1">
      <c r="A3" s="291">
        <v>39510</v>
      </c>
      <c r="B3" s="292" t="s">
        <v>401</v>
      </c>
      <c r="C3" s="293">
        <v>2916516925</v>
      </c>
      <c r="D3" s="294"/>
      <c r="E3" s="295" t="s">
        <v>398</v>
      </c>
      <c r="F3" s="296"/>
      <c r="G3" s="296" t="s">
        <v>394</v>
      </c>
      <c r="H3" s="292" t="s">
        <v>400</v>
      </c>
      <c r="I3" s="292"/>
      <c r="J3" s="293">
        <v>99180567</v>
      </c>
      <c r="K3" s="293">
        <f>SUM(K4*O3)</f>
        <v>1166606769.9684</v>
      </c>
      <c r="L3" s="293">
        <f>SUM(C3-J3-K3)</f>
        <v>1650729588.0316</v>
      </c>
      <c r="M3" s="297">
        <v>43452</v>
      </c>
      <c r="N3" s="298">
        <v>6868586.8600000003</v>
      </c>
      <c r="O3" s="299">
        <v>241.06</v>
      </c>
      <c r="P3" s="300"/>
    </row>
    <row r="4" spans="1:16" s="301" customFormat="1" ht="18.75" customHeight="1">
      <c r="A4" s="302"/>
      <c r="B4" s="303"/>
      <c r="C4" s="304"/>
      <c r="D4" s="305"/>
      <c r="E4" s="306"/>
      <c r="F4" s="307"/>
      <c r="G4" s="307"/>
      <c r="H4" s="303"/>
      <c r="I4" s="303"/>
      <c r="J4" s="304"/>
      <c r="K4" s="308">
        <v>4839487.1399999997</v>
      </c>
      <c r="L4" s="304"/>
      <c r="M4" s="309"/>
      <c r="N4" s="308"/>
      <c r="O4" s="310"/>
      <c r="P4" s="300"/>
    </row>
    <row r="5" spans="1:16" s="301" customFormat="1" ht="18.75" customHeight="1">
      <c r="A5" s="291">
        <v>39510</v>
      </c>
      <c r="B5" s="292" t="s">
        <v>399</v>
      </c>
      <c r="C5" s="293">
        <v>1859385859</v>
      </c>
      <c r="D5" s="294"/>
      <c r="E5" s="295" t="s">
        <v>398</v>
      </c>
      <c r="F5" s="296"/>
      <c r="G5" s="296" t="s">
        <v>394</v>
      </c>
      <c r="H5" s="292" t="s">
        <v>397</v>
      </c>
      <c r="I5" s="292"/>
      <c r="J5" s="293">
        <v>60477192</v>
      </c>
      <c r="K5" s="293">
        <f>SUM(K6*O5)</f>
        <v>743754309.48979998</v>
      </c>
      <c r="L5" s="293">
        <f>SUM(C5-J5-K5)</f>
        <v>1055154357.5102</v>
      </c>
      <c r="M5" s="297">
        <v>43452</v>
      </c>
      <c r="N5" s="298">
        <v>4380014.54</v>
      </c>
      <c r="O5" s="299">
        <v>241.06</v>
      </c>
      <c r="P5" s="300"/>
    </row>
    <row r="6" spans="1:16" s="301" customFormat="1" ht="18.75" customHeight="1">
      <c r="A6" s="302"/>
      <c r="B6" s="303"/>
      <c r="C6" s="304"/>
      <c r="D6" s="305"/>
      <c r="E6" s="306"/>
      <c r="F6" s="307"/>
      <c r="G6" s="307"/>
      <c r="H6" s="303"/>
      <c r="I6" s="303"/>
      <c r="J6" s="304"/>
      <c r="K6" s="308">
        <v>3085349.33</v>
      </c>
      <c r="L6" s="304"/>
      <c r="M6" s="309"/>
      <c r="N6" s="308"/>
      <c r="O6" s="310"/>
      <c r="P6" s="300"/>
    </row>
    <row r="7" spans="1:16" s="301" customFormat="1" ht="18.75" customHeight="1">
      <c r="A7" s="291">
        <v>39535</v>
      </c>
      <c r="B7" s="292" t="s">
        <v>396</v>
      </c>
      <c r="C7" s="293">
        <v>1216057544</v>
      </c>
      <c r="D7" s="294"/>
      <c r="E7" s="295" t="s">
        <v>395</v>
      </c>
      <c r="F7" s="296"/>
      <c r="G7" s="296" t="s">
        <v>394</v>
      </c>
      <c r="H7" s="292" t="s">
        <v>393</v>
      </c>
      <c r="I7" s="292"/>
      <c r="J7" s="293">
        <v>41019106</v>
      </c>
      <c r="K7" s="293">
        <f>SUM(K8*O7)</f>
        <v>486422908.94699997</v>
      </c>
      <c r="L7" s="293">
        <f>SUM(C7-J7-K7)</f>
        <v>688615529.05299997</v>
      </c>
      <c r="M7" s="297">
        <v>43452</v>
      </c>
      <c r="N7" s="298">
        <v>2864046.87</v>
      </c>
      <c r="O7" s="299">
        <v>241.06</v>
      </c>
      <c r="P7" s="300"/>
    </row>
    <row r="8" spans="1:16" s="301" customFormat="1" ht="18.75" customHeight="1">
      <c r="A8" s="302"/>
      <c r="B8" s="303"/>
      <c r="C8" s="304"/>
      <c r="D8" s="305"/>
      <c r="E8" s="306"/>
      <c r="F8" s="307"/>
      <c r="G8" s="307"/>
      <c r="H8" s="303"/>
      <c r="I8" s="303"/>
      <c r="J8" s="304"/>
      <c r="K8" s="308">
        <v>2017849.95</v>
      </c>
      <c r="L8" s="304"/>
      <c r="M8" s="309"/>
      <c r="N8" s="308"/>
      <c r="O8" s="310"/>
      <c r="P8" s="300"/>
    </row>
    <row r="9" spans="1:16" s="301" customFormat="1" ht="18.75" customHeight="1">
      <c r="A9" s="984" t="s">
        <v>567</v>
      </c>
      <c r="B9" s="985"/>
      <c r="C9" s="311">
        <f>SUM(C3:C7)</f>
        <v>5991960328</v>
      </c>
      <c r="D9" s="312"/>
      <c r="E9" s="313"/>
      <c r="F9" s="314"/>
      <c r="G9" s="314"/>
      <c r="H9" s="315"/>
      <c r="I9" s="316"/>
      <c r="J9" s="311">
        <f>SUM(J3:J7)</f>
        <v>200676865</v>
      </c>
      <c r="K9" s="311">
        <f>SUM(K3+K5+K7)</f>
        <v>2396783988.4052</v>
      </c>
      <c r="L9" s="311">
        <f>SUM(L3:L7)</f>
        <v>3394499474.5948</v>
      </c>
      <c r="M9" s="317"/>
      <c r="N9" s="318">
        <f>SUM(N3:N7)</f>
        <v>14112648.27</v>
      </c>
      <c r="O9" s="319"/>
      <c r="P9" s="320"/>
    </row>
    <row r="10" spans="1:16" ht="16.5" customHeight="1">
      <c r="A10" s="321">
        <v>39895</v>
      </c>
      <c r="B10" s="322" t="s">
        <v>385</v>
      </c>
      <c r="C10" s="323">
        <v>56673420</v>
      </c>
      <c r="D10" s="324" t="s">
        <v>392</v>
      </c>
      <c r="E10" s="325">
        <v>6.25E-2</v>
      </c>
      <c r="F10" s="326"/>
      <c r="G10" s="327" t="s">
        <v>391</v>
      </c>
      <c r="H10" s="328">
        <v>41710</v>
      </c>
      <c r="I10" s="328" t="s">
        <v>390</v>
      </c>
      <c r="J10" s="323">
        <v>29552717</v>
      </c>
      <c r="K10" s="304"/>
      <c r="L10" s="304">
        <f>SUM(C10-J10)</f>
        <v>27120703</v>
      </c>
      <c r="M10" s="329"/>
      <c r="N10" s="304"/>
      <c r="O10" s="323"/>
    </row>
    <row r="11" spans="1:16" ht="16.5" customHeight="1">
      <c r="A11" s="330">
        <v>40896</v>
      </c>
      <c r="B11" s="322" t="s">
        <v>387</v>
      </c>
      <c r="C11" s="331">
        <v>245447400</v>
      </c>
      <c r="D11" s="332"/>
      <c r="E11" s="325">
        <v>3.9600000000000003E-2</v>
      </c>
      <c r="F11" s="333"/>
      <c r="G11" s="333"/>
      <c r="H11" s="334" t="s">
        <v>568</v>
      </c>
      <c r="I11" s="334"/>
      <c r="J11" s="335">
        <f>3569371+98178960</f>
        <v>101748331</v>
      </c>
      <c r="K11" s="335">
        <v>98178960</v>
      </c>
      <c r="L11" s="323">
        <f>SUM(C11-J11-K11)</f>
        <v>45520109</v>
      </c>
      <c r="M11" s="336">
        <v>43151</v>
      </c>
      <c r="N11" s="331" t="s">
        <v>386</v>
      </c>
      <c r="O11" s="331"/>
    </row>
    <row r="12" spans="1:16" ht="16.5" customHeight="1">
      <c r="A12" s="330">
        <v>40575</v>
      </c>
      <c r="B12" s="322" t="s">
        <v>389</v>
      </c>
      <c r="C12" s="331">
        <v>8652256</v>
      </c>
      <c r="D12" s="332" t="s">
        <v>388</v>
      </c>
      <c r="E12" s="325">
        <v>0.06</v>
      </c>
      <c r="F12" s="333"/>
      <c r="G12" s="333"/>
      <c r="H12" s="334">
        <v>40908</v>
      </c>
      <c r="I12" s="334">
        <v>41324</v>
      </c>
      <c r="J12" s="335">
        <v>8652256</v>
      </c>
      <c r="K12" s="335"/>
      <c r="L12" s="323">
        <f>SUM(C12-J12)</f>
        <v>0</v>
      </c>
      <c r="M12" s="336"/>
      <c r="N12" s="331"/>
      <c r="O12" s="331"/>
    </row>
    <row r="13" spans="1:16" ht="16.5" customHeight="1">
      <c r="A13" s="330">
        <v>40808</v>
      </c>
      <c r="B13" s="322" t="s">
        <v>382</v>
      </c>
      <c r="C13" s="331">
        <v>880000000</v>
      </c>
      <c r="D13" s="332" t="s">
        <v>569</v>
      </c>
      <c r="E13" s="325">
        <v>0.2</v>
      </c>
      <c r="F13" s="333"/>
      <c r="G13" s="333"/>
      <c r="H13" s="334">
        <v>41902</v>
      </c>
      <c r="I13" s="334">
        <v>41353</v>
      </c>
      <c r="J13" s="335">
        <v>220000000</v>
      </c>
      <c r="K13" s="335">
        <v>312000000</v>
      </c>
      <c r="L13" s="323">
        <f>SUM(C13-J13-K13)</f>
        <v>348000000</v>
      </c>
      <c r="M13" s="336"/>
      <c r="N13" s="982"/>
      <c r="O13" s="983"/>
    </row>
    <row r="14" spans="1:16" s="289" customFormat="1" ht="16.5" customHeight="1">
      <c r="A14" s="330">
        <v>41009</v>
      </c>
      <c r="B14" s="322" t="s">
        <v>383</v>
      </c>
      <c r="C14" s="331">
        <v>154643836</v>
      </c>
      <c r="D14" s="332" t="s">
        <v>381</v>
      </c>
      <c r="E14" s="325">
        <v>0.15</v>
      </c>
      <c r="F14" s="333"/>
      <c r="G14" s="333" t="s">
        <v>380</v>
      </c>
      <c r="H14" s="334">
        <v>41172</v>
      </c>
      <c r="I14" s="334">
        <v>41289</v>
      </c>
      <c r="J14" s="335">
        <v>154643836</v>
      </c>
      <c r="K14" s="335"/>
      <c r="L14" s="323">
        <f>SUM(C14-J14)</f>
        <v>0</v>
      </c>
      <c r="M14" s="336"/>
      <c r="N14" s="331"/>
      <c r="O14" s="331"/>
    </row>
    <row r="15" spans="1:16" s="289" customFormat="1" ht="16.5" customHeight="1">
      <c r="A15" s="330">
        <v>41107</v>
      </c>
      <c r="B15" s="322" t="s">
        <v>385</v>
      </c>
      <c r="C15" s="331">
        <v>130000000</v>
      </c>
      <c r="D15" s="332" t="s">
        <v>381</v>
      </c>
      <c r="E15" s="325">
        <v>6.25E-2</v>
      </c>
      <c r="F15" s="335">
        <v>600000</v>
      </c>
      <c r="G15" s="333" t="s">
        <v>384</v>
      </c>
      <c r="H15" s="334">
        <v>41547</v>
      </c>
      <c r="I15" s="334"/>
      <c r="J15" s="335"/>
      <c r="K15" s="335">
        <v>74669368</v>
      </c>
      <c r="L15" s="323">
        <f>SUM(C15-J15-K15)</f>
        <v>55330632</v>
      </c>
      <c r="M15" s="336"/>
      <c r="N15" s="331"/>
      <c r="O15" s="331"/>
    </row>
    <row r="16" spans="1:16" s="289" customFormat="1" ht="16.5" customHeight="1">
      <c r="A16" s="330">
        <v>41199</v>
      </c>
      <c r="B16" s="322" t="s">
        <v>342</v>
      </c>
      <c r="C16" s="331">
        <v>35000000</v>
      </c>
      <c r="D16" s="332" t="s">
        <v>381</v>
      </c>
      <c r="E16" s="325">
        <v>0.15</v>
      </c>
      <c r="F16" s="333"/>
      <c r="G16" s="333" t="s">
        <v>380</v>
      </c>
      <c r="H16" s="337">
        <v>41364</v>
      </c>
      <c r="I16" s="334">
        <v>41353</v>
      </c>
      <c r="J16" s="335">
        <v>35000000</v>
      </c>
      <c r="K16" s="335"/>
      <c r="L16" s="323">
        <f>SUM(C16-J16)</f>
        <v>0</v>
      </c>
      <c r="M16" s="336"/>
      <c r="N16" s="331"/>
      <c r="O16" s="331"/>
    </row>
    <row r="17" spans="1:16" s="289" customFormat="1" ht="16.5" customHeight="1">
      <c r="A17" s="330">
        <v>41225</v>
      </c>
      <c r="B17" s="322" t="s">
        <v>382</v>
      </c>
      <c r="C17" s="331">
        <v>300000000</v>
      </c>
      <c r="D17" s="332" t="s">
        <v>381</v>
      </c>
      <c r="E17" s="325">
        <v>0.2</v>
      </c>
      <c r="F17" s="333"/>
      <c r="G17" s="333" t="s">
        <v>380</v>
      </c>
      <c r="H17" s="337">
        <v>41537</v>
      </c>
      <c r="I17" s="334">
        <v>41388</v>
      </c>
      <c r="J17" s="335">
        <v>100000000</v>
      </c>
      <c r="K17" s="335">
        <v>200000000</v>
      </c>
      <c r="L17" s="323">
        <f>SUM(C17-J17-K17)</f>
        <v>0</v>
      </c>
      <c r="M17" s="336"/>
      <c r="N17" s="331"/>
      <c r="O17" s="331"/>
    </row>
    <row r="18" spans="1:16" ht="16.5" customHeight="1">
      <c r="A18" s="330">
        <v>41236</v>
      </c>
      <c r="B18" s="322" t="s">
        <v>382</v>
      </c>
      <c r="C18" s="331">
        <v>100000000</v>
      </c>
      <c r="D18" s="332" t="s">
        <v>381</v>
      </c>
      <c r="E18" s="325">
        <v>0.2</v>
      </c>
      <c r="F18" s="333"/>
      <c r="G18" s="333" t="s">
        <v>380</v>
      </c>
      <c r="H18" s="337">
        <v>41450</v>
      </c>
      <c r="I18" s="334">
        <v>41359</v>
      </c>
      <c r="J18" s="335">
        <v>100000000</v>
      </c>
      <c r="K18" s="335"/>
      <c r="L18" s="323">
        <f>SUM(C18-J18)</f>
        <v>0</v>
      </c>
      <c r="M18" s="336"/>
      <c r="N18" s="331"/>
      <c r="O18" s="331"/>
    </row>
    <row r="19" spans="1:16" s="301" customFormat="1" ht="18.75" customHeight="1">
      <c r="A19" s="984" t="s">
        <v>570</v>
      </c>
      <c r="B19" s="985"/>
      <c r="C19" s="311">
        <f>SUM(C10:C18)</f>
        <v>1910416912</v>
      </c>
      <c r="D19" s="312"/>
      <c r="E19" s="313"/>
      <c r="F19" s="314"/>
      <c r="G19" s="314"/>
      <c r="H19" s="315"/>
      <c r="I19" s="316"/>
      <c r="J19" s="516"/>
      <c r="K19" s="311">
        <f>SUM(K10:K18)</f>
        <v>684848328</v>
      </c>
      <c r="L19" s="311"/>
      <c r="M19" s="317"/>
      <c r="N19" s="318"/>
      <c r="O19" s="319"/>
      <c r="P19" s="320"/>
    </row>
    <row r="20" spans="1:16" ht="16.5" customHeight="1">
      <c r="A20" s="330">
        <v>41295</v>
      </c>
      <c r="B20" s="322" t="s">
        <v>383</v>
      </c>
      <c r="C20" s="331">
        <v>150000000</v>
      </c>
      <c r="D20" s="332" t="s">
        <v>381</v>
      </c>
      <c r="E20" s="325">
        <v>0.11</v>
      </c>
      <c r="F20" s="333"/>
      <c r="G20" s="333"/>
      <c r="H20" s="334">
        <v>41639</v>
      </c>
      <c r="I20" s="334"/>
      <c r="J20" s="335"/>
      <c r="K20" s="335"/>
      <c r="L20" s="323">
        <f t="shared" ref="L20:L25" si="0">SUM(C20-J20)</f>
        <v>150000000</v>
      </c>
      <c r="M20" s="336"/>
      <c r="N20" s="331"/>
      <c r="O20" s="331"/>
    </row>
    <row r="21" spans="1:16" ht="16.5" customHeight="1">
      <c r="A21" s="330">
        <v>41306</v>
      </c>
      <c r="B21" s="322" t="s">
        <v>571</v>
      </c>
      <c r="C21" s="331">
        <v>50000000</v>
      </c>
      <c r="D21" s="332"/>
      <c r="E21" s="325"/>
      <c r="F21" s="333"/>
      <c r="G21" s="333"/>
      <c r="H21" s="334">
        <v>41333</v>
      </c>
      <c r="I21" s="334">
        <v>41317</v>
      </c>
      <c r="J21" s="335">
        <v>50000000</v>
      </c>
      <c r="K21" s="335"/>
      <c r="L21" s="323">
        <f t="shared" si="0"/>
        <v>0</v>
      </c>
      <c r="M21" s="336"/>
      <c r="N21" s="331"/>
      <c r="O21" s="331"/>
    </row>
    <row r="22" spans="1:16" ht="16.5" customHeight="1">
      <c r="A22" s="330" t="s">
        <v>572</v>
      </c>
      <c r="B22" s="322" t="s">
        <v>382</v>
      </c>
      <c r="C22" s="331">
        <v>100000000</v>
      </c>
      <c r="D22" s="332" t="s">
        <v>381</v>
      </c>
      <c r="E22" s="325"/>
      <c r="F22" s="333"/>
      <c r="G22" s="333"/>
      <c r="H22" s="334"/>
      <c r="I22" s="334">
        <v>41345</v>
      </c>
      <c r="J22" s="335">
        <v>100000000</v>
      </c>
      <c r="K22" s="335"/>
      <c r="L22" s="323">
        <f t="shared" si="0"/>
        <v>0</v>
      </c>
      <c r="M22" s="336"/>
      <c r="N22" s="331"/>
      <c r="O22" s="331"/>
    </row>
    <row r="23" spans="1:16" ht="16.5" customHeight="1">
      <c r="A23" s="330">
        <v>41334</v>
      </c>
      <c r="B23" s="322" t="s">
        <v>571</v>
      </c>
      <c r="C23" s="331">
        <v>50000000</v>
      </c>
      <c r="D23" s="332"/>
      <c r="E23" s="325"/>
      <c r="F23" s="333"/>
      <c r="G23" s="333"/>
      <c r="H23" s="334">
        <v>41364</v>
      </c>
      <c r="I23" s="334">
        <v>41352</v>
      </c>
      <c r="J23" s="335">
        <v>50000000</v>
      </c>
      <c r="K23" s="335"/>
      <c r="L23" s="323">
        <f t="shared" si="0"/>
        <v>0</v>
      </c>
      <c r="M23" s="336"/>
      <c r="N23" s="331"/>
      <c r="O23" s="331"/>
    </row>
    <row r="24" spans="1:16" ht="16.5" customHeight="1">
      <c r="A24" s="330">
        <v>41408</v>
      </c>
      <c r="B24" s="322" t="s">
        <v>385</v>
      </c>
      <c r="C24" s="331">
        <v>100000000</v>
      </c>
      <c r="D24" s="332" t="s">
        <v>381</v>
      </c>
      <c r="E24" s="325">
        <v>6.25E-2</v>
      </c>
      <c r="F24" s="333"/>
      <c r="G24" s="333"/>
      <c r="H24" s="334">
        <v>41639</v>
      </c>
      <c r="I24" s="334"/>
      <c r="J24" s="335"/>
      <c r="K24" s="335"/>
      <c r="L24" s="323">
        <f t="shared" si="0"/>
        <v>100000000</v>
      </c>
      <c r="M24" s="336"/>
      <c r="N24" s="331"/>
      <c r="O24" s="331"/>
    </row>
    <row r="25" spans="1:16" ht="16.5" customHeight="1">
      <c r="A25" s="330">
        <v>41453</v>
      </c>
      <c r="B25" s="322" t="s">
        <v>573</v>
      </c>
      <c r="C25" s="331">
        <v>77265055</v>
      </c>
      <c r="D25" s="332"/>
      <c r="E25" s="325"/>
      <c r="F25" s="333"/>
      <c r="G25" s="333"/>
      <c r="H25" s="334">
        <v>41457</v>
      </c>
      <c r="I25" s="334"/>
      <c r="J25" s="335"/>
      <c r="K25" s="335"/>
      <c r="L25" s="323">
        <f t="shared" si="0"/>
        <v>77265055</v>
      </c>
      <c r="M25" s="336"/>
      <c r="N25" s="331"/>
      <c r="O25" s="331"/>
    </row>
    <row r="26" spans="1:16">
      <c r="A26" s="338" t="s">
        <v>574</v>
      </c>
      <c r="B26" s="338"/>
      <c r="C26" s="339">
        <f>SUM(C20:C25)</f>
        <v>527265055</v>
      </c>
      <c r="D26" s="340"/>
      <c r="E26" s="341"/>
      <c r="F26" s="342"/>
      <c r="G26" s="342"/>
      <c r="H26" s="343" t="s">
        <v>575</v>
      </c>
      <c r="I26" s="343"/>
      <c r="J26" s="344">
        <f>SUM(J9:J25)</f>
        <v>1150274005</v>
      </c>
      <c r="K26" s="344">
        <f>SUM(K19+K9)</f>
        <v>3081632316.4052</v>
      </c>
      <c r="L26" s="339"/>
      <c r="M26" s="345"/>
      <c r="N26" s="339"/>
      <c r="O26" s="339"/>
    </row>
    <row r="27" spans="1:16">
      <c r="A27" s="346"/>
      <c r="B27" s="347"/>
      <c r="C27" s="348"/>
      <c r="D27" s="349"/>
      <c r="E27" s="350"/>
      <c r="F27" s="351" t="s">
        <v>576</v>
      </c>
      <c r="G27" s="352"/>
      <c r="H27" s="351"/>
      <c r="I27" s="351"/>
      <c r="J27" s="353"/>
      <c r="K27" s="353"/>
      <c r="L27" s="348">
        <f>SUM(L9:L25)</f>
        <v>4197735973.5948</v>
      </c>
      <c r="M27" s="354"/>
      <c r="N27" s="355"/>
      <c r="O27" s="356" t="s">
        <v>577</v>
      </c>
      <c r="P27" s="357"/>
    </row>
    <row r="28" spans="1:16">
      <c r="B28" s="358"/>
      <c r="C28" s="359"/>
      <c r="D28" s="359"/>
      <c r="E28" s="359"/>
      <c r="F28" s="359"/>
      <c r="G28" s="360"/>
      <c r="H28" s="359"/>
      <c r="I28" s="359"/>
      <c r="J28" s="359"/>
      <c r="K28" s="359"/>
    </row>
    <row r="29" spans="1:16">
      <c r="B29" s="358"/>
      <c r="C29" s="359"/>
      <c r="D29" s="359"/>
      <c r="E29" s="359"/>
      <c r="F29" s="359"/>
      <c r="G29" s="360"/>
      <c r="H29" s="359"/>
      <c r="I29" s="359"/>
      <c r="J29" s="359"/>
      <c r="K29" s="359"/>
      <c r="L29" s="357">
        <f>SUM(C9+C19+C26-J26-K26)</f>
        <v>4197735973.5948</v>
      </c>
    </row>
    <row r="30" spans="1:16">
      <c r="C30" s="359"/>
      <c r="D30" s="359"/>
      <c r="E30" s="359"/>
      <c r="F30" s="359"/>
      <c r="G30" s="360"/>
      <c r="H30" s="359"/>
      <c r="I30" s="359"/>
      <c r="J30" s="359">
        <f>+J23+J22+J21+J18+J17+J16+J14+J13+J12+J10</f>
        <v>847848809</v>
      </c>
      <c r="K30" s="359"/>
    </row>
    <row r="32" spans="1:16">
      <c r="J32" s="517">
        <f>+J30+J9</f>
        <v>1048525674</v>
      </c>
    </row>
    <row r="34" spans="10:10">
      <c r="J34" s="359">
        <v>1123195</v>
      </c>
    </row>
    <row r="35" spans="10:10">
      <c r="J35" s="359">
        <f>+J34-J32/1000</f>
        <v>74669.326000000001</v>
      </c>
    </row>
  </sheetData>
  <mergeCells count="4">
    <mergeCell ref="N13:O13"/>
    <mergeCell ref="A19:B19"/>
    <mergeCell ref="E2:F2"/>
    <mergeCell ref="A9:B9"/>
  </mergeCells>
  <printOptions horizontalCentered="1"/>
  <pageMargins left="0.23622047244094491" right="0.23622047244094491" top="1.0236220472440944" bottom="0.51181102362204722" header="0.23622047244094491" footer="0.15748031496062992"/>
  <pageSetup paperSize="9" scale="80" orientation="landscape" r:id="rId1"/>
  <headerFooter alignWithMargins="0">
    <oddHeader>&amp;LVeresegyház Város Önkormányzat&amp;CHITELEK ÉS KÖLCSÖNÖK ÁLLOMÁNYA
2013.06.30.&amp;R29. számú melléklet</oddHeader>
    <oddFooter>&amp;LVeresegyház, 2013. Szeptember 03.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95"/>
  <sheetViews>
    <sheetView view="pageLayout" topLeftCell="A82" workbookViewId="0">
      <selection activeCell="D90" sqref="D90"/>
    </sheetView>
  </sheetViews>
  <sheetFormatPr defaultRowHeight="13.2"/>
  <cols>
    <col min="1" max="1" width="47.5546875" customWidth="1"/>
    <col min="2" max="2" width="13.109375" customWidth="1"/>
    <col min="3" max="3" width="10.88671875" customWidth="1"/>
    <col min="4" max="4" width="11.88671875" customWidth="1"/>
    <col min="5" max="5" width="12.5546875" customWidth="1"/>
    <col min="6" max="6" width="9.109375" customWidth="1"/>
    <col min="7" max="7" width="9.77734375" customWidth="1"/>
    <col min="8" max="8" width="9" customWidth="1"/>
    <col min="9" max="9" width="9.44140625" customWidth="1"/>
    <col min="10" max="10" width="7.21875" customWidth="1"/>
  </cols>
  <sheetData>
    <row r="1" spans="1:6">
      <c r="A1" s="48"/>
      <c r="B1" s="47"/>
      <c r="C1" s="47"/>
      <c r="D1" s="47"/>
      <c r="E1" s="757" t="s">
        <v>497</v>
      </c>
      <c r="F1" s="758"/>
    </row>
    <row r="2" spans="1:6">
      <c r="A2" s="759" t="s">
        <v>487</v>
      </c>
      <c r="B2" s="759"/>
      <c r="C2" s="767"/>
      <c r="D2" s="767"/>
      <c r="E2" s="767"/>
      <c r="F2" s="767"/>
    </row>
    <row r="3" spans="1:6">
      <c r="A3" s="190"/>
      <c r="B3" s="259">
        <v>41455</v>
      </c>
      <c r="C3" s="205"/>
      <c r="D3" s="205"/>
      <c r="E3" s="205"/>
      <c r="F3" s="205"/>
    </row>
    <row r="4" spans="1:6">
      <c r="A4" s="745"/>
      <c r="B4" s="745"/>
      <c r="C4" s="745" t="s">
        <v>530</v>
      </c>
      <c r="D4" s="745"/>
      <c r="F4" s="21" t="s">
        <v>531</v>
      </c>
    </row>
    <row r="5" spans="1:6">
      <c r="A5" s="768" t="s">
        <v>175</v>
      </c>
      <c r="B5" s="769"/>
      <c r="C5" s="769"/>
      <c r="D5" s="770" t="s">
        <v>174</v>
      </c>
      <c r="E5" s="771"/>
      <c r="F5" s="772"/>
    </row>
    <row r="6" spans="1:6" ht="31.2" customHeight="1">
      <c r="A6" s="45"/>
      <c r="B6" s="203"/>
      <c r="C6" s="194"/>
      <c r="D6" s="50" t="s">
        <v>231</v>
      </c>
      <c r="E6" s="50" t="s">
        <v>525</v>
      </c>
      <c r="F6" s="50" t="s">
        <v>743</v>
      </c>
    </row>
    <row r="7" spans="1:6">
      <c r="A7" s="765" t="s">
        <v>488</v>
      </c>
      <c r="B7" s="766"/>
      <c r="C7" s="766"/>
      <c r="D7" s="31">
        <v>44628</v>
      </c>
      <c r="E7" s="31">
        <v>44628</v>
      </c>
      <c r="F7" s="31">
        <v>22314</v>
      </c>
    </row>
    <row r="8" spans="1:6">
      <c r="A8" s="765" t="s">
        <v>489</v>
      </c>
      <c r="B8" s="766"/>
      <c r="C8" s="766"/>
      <c r="D8" s="31">
        <v>289872</v>
      </c>
      <c r="E8" s="31">
        <v>289872</v>
      </c>
      <c r="F8" s="31">
        <v>144120</v>
      </c>
    </row>
    <row r="9" spans="1:6">
      <c r="A9" s="765" t="s">
        <v>490</v>
      </c>
      <c r="B9" s="766"/>
      <c r="C9" s="766"/>
      <c r="D9" s="31">
        <v>49320</v>
      </c>
      <c r="E9" s="31">
        <v>49320</v>
      </c>
      <c r="F9" s="31">
        <v>24678</v>
      </c>
    </row>
    <row r="10" spans="1:6">
      <c r="A10" s="765" t="s">
        <v>491</v>
      </c>
      <c r="B10" s="766"/>
      <c r="C10" s="766"/>
      <c r="D10" s="31">
        <v>56508</v>
      </c>
      <c r="E10" s="31">
        <v>56508</v>
      </c>
      <c r="F10" s="31">
        <v>28254</v>
      </c>
    </row>
    <row r="11" spans="1:6">
      <c r="A11" s="765" t="s">
        <v>492</v>
      </c>
      <c r="B11" s="766"/>
      <c r="C11" s="766"/>
      <c r="D11" s="31">
        <v>20670</v>
      </c>
      <c r="E11" s="31">
        <v>20670</v>
      </c>
      <c r="F11" s="31">
        <v>10335</v>
      </c>
    </row>
    <row r="12" spans="1:6">
      <c r="A12" s="765" t="s">
        <v>493</v>
      </c>
      <c r="B12" s="766"/>
      <c r="C12" s="766"/>
      <c r="D12" s="31">
        <v>38046</v>
      </c>
      <c r="E12" s="31">
        <v>38046</v>
      </c>
      <c r="F12" s="31">
        <v>19023</v>
      </c>
    </row>
    <row r="13" spans="1:6">
      <c r="A13" s="765" t="s">
        <v>494</v>
      </c>
      <c r="B13" s="766"/>
      <c r="C13" s="766"/>
      <c r="D13" s="31">
        <v>57997</v>
      </c>
      <c r="E13" s="31">
        <v>57997</v>
      </c>
      <c r="F13" s="31">
        <v>28998</v>
      </c>
    </row>
    <row r="14" spans="1:6">
      <c r="A14" s="765" t="s">
        <v>495</v>
      </c>
      <c r="B14" s="766"/>
      <c r="C14" s="766"/>
      <c r="D14" s="31">
        <v>18843</v>
      </c>
      <c r="E14" s="31">
        <v>18843</v>
      </c>
      <c r="F14" s="31">
        <v>9422</v>
      </c>
    </row>
    <row r="15" spans="1:6">
      <c r="A15" s="765" t="s">
        <v>506</v>
      </c>
      <c r="B15" s="766"/>
      <c r="C15" s="766"/>
      <c r="D15" s="31">
        <v>25615</v>
      </c>
      <c r="E15" s="31">
        <v>25615</v>
      </c>
      <c r="F15" s="31">
        <v>14845</v>
      </c>
    </row>
    <row r="16" spans="1:6">
      <c r="A16" s="765"/>
      <c r="B16" s="766"/>
      <c r="C16" s="766"/>
      <c r="D16" s="31"/>
      <c r="E16" s="31"/>
      <c r="F16" s="31"/>
    </row>
    <row r="17" spans="1:6">
      <c r="A17" s="765"/>
      <c r="B17" s="766"/>
      <c r="C17" s="766"/>
      <c r="D17" s="31"/>
      <c r="E17" s="31"/>
      <c r="F17" s="31"/>
    </row>
    <row r="18" spans="1:6">
      <c r="A18" s="765"/>
      <c r="B18" s="766"/>
      <c r="C18" s="766"/>
      <c r="D18" s="31"/>
      <c r="E18" s="31"/>
      <c r="F18" s="31"/>
    </row>
    <row r="19" spans="1:6">
      <c r="A19" s="773" t="s">
        <v>496</v>
      </c>
      <c r="B19" s="774">
        <f>SUM(B7:B18)</f>
        <v>0</v>
      </c>
      <c r="C19" s="774"/>
      <c r="D19" s="37">
        <f>SUM(D7:D18)</f>
        <v>601499</v>
      </c>
      <c r="E19" s="37">
        <f t="shared" ref="E19:F19" si="0">SUM(E7:E18)</f>
        <v>601499</v>
      </c>
      <c r="F19" s="37">
        <f t="shared" si="0"/>
        <v>301989</v>
      </c>
    </row>
    <row r="20" spans="1:6">
      <c r="A20" s="48"/>
      <c r="B20" s="61"/>
    </row>
    <row r="21" spans="1:6">
      <c r="A21" s="48"/>
      <c r="B21" s="61"/>
    </row>
    <row r="22" spans="1:6">
      <c r="A22" s="48"/>
      <c r="B22" s="61"/>
    </row>
    <row r="23" spans="1:6">
      <c r="A23" s="48"/>
      <c r="B23" s="61"/>
    </row>
    <row r="26" spans="1:6" ht="12" customHeight="1">
      <c r="A26" s="48"/>
      <c r="B26" s="47"/>
      <c r="C26" s="46"/>
      <c r="D26" s="180" t="s">
        <v>507</v>
      </c>
      <c r="E26" s="46"/>
      <c r="F26" s="21"/>
    </row>
    <row r="27" spans="1:6">
      <c r="A27" s="759" t="s">
        <v>185</v>
      </c>
      <c r="B27" s="759"/>
      <c r="C27" s="701"/>
      <c r="D27" s="701"/>
    </row>
    <row r="28" spans="1:6">
      <c r="A28" s="260">
        <v>41455</v>
      </c>
      <c r="B28" s="247"/>
      <c r="C28" s="244"/>
      <c r="D28" s="244"/>
    </row>
    <row r="29" spans="1:6">
      <c r="A29" s="745" t="s">
        <v>48</v>
      </c>
      <c r="B29" s="745"/>
      <c r="D29" s="192" t="s">
        <v>23</v>
      </c>
    </row>
    <row r="30" spans="1:6">
      <c r="A30" s="45" t="s">
        <v>175</v>
      </c>
      <c r="B30" s="762" t="s">
        <v>174</v>
      </c>
      <c r="C30" s="763"/>
      <c r="D30" s="764"/>
    </row>
    <row r="31" spans="1:6" ht="32.4" customHeight="1">
      <c r="A31" s="93"/>
      <c r="B31" s="50" t="s">
        <v>231</v>
      </c>
      <c r="C31" s="50" t="s">
        <v>525</v>
      </c>
      <c r="D31" s="50" t="s">
        <v>743</v>
      </c>
    </row>
    <row r="32" spans="1:6">
      <c r="A32" s="93" t="s">
        <v>184</v>
      </c>
      <c r="B32" s="42">
        <v>1418</v>
      </c>
      <c r="C32" s="42">
        <v>1418</v>
      </c>
      <c r="D32" s="42">
        <v>709</v>
      </c>
    </row>
    <row r="33" spans="1:4">
      <c r="A33" s="93" t="s">
        <v>183</v>
      </c>
      <c r="B33" s="42">
        <v>82</v>
      </c>
      <c r="C33" s="42">
        <v>82</v>
      </c>
      <c r="D33" s="42">
        <f>21+19</f>
        <v>40</v>
      </c>
    </row>
    <row r="34" spans="1:4">
      <c r="A34" s="206" t="s">
        <v>539</v>
      </c>
      <c r="B34" s="42">
        <v>0</v>
      </c>
      <c r="C34" s="42">
        <v>17223</v>
      </c>
      <c r="D34" s="42">
        <v>17223</v>
      </c>
    </row>
    <row r="35" spans="1:4">
      <c r="A35" s="206" t="s">
        <v>540</v>
      </c>
      <c r="B35" s="42">
        <v>0</v>
      </c>
      <c r="C35" s="42">
        <v>2305</v>
      </c>
      <c r="D35" s="42">
        <v>2305</v>
      </c>
    </row>
    <row r="36" spans="1:4">
      <c r="A36" s="206" t="s">
        <v>541</v>
      </c>
      <c r="B36" s="42"/>
      <c r="C36" s="42">
        <v>74669</v>
      </c>
      <c r="D36" s="42">
        <v>74669</v>
      </c>
    </row>
    <row r="37" spans="1:4">
      <c r="A37" s="272" t="s">
        <v>594</v>
      </c>
      <c r="B37" s="42"/>
      <c r="C37" s="42">
        <v>1198</v>
      </c>
      <c r="D37" s="42">
        <v>1198</v>
      </c>
    </row>
    <row r="38" spans="1:4" ht="18" customHeight="1">
      <c r="A38" s="44" t="s">
        <v>182</v>
      </c>
      <c r="B38" s="39">
        <f>SUM(B32:B36)</f>
        <v>1500</v>
      </c>
      <c r="C38" s="39">
        <f>SUM(C32:C37)</f>
        <v>96895</v>
      </c>
      <c r="D38" s="39">
        <f>SUM(D32:D37)</f>
        <v>96144</v>
      </c>
    </row>
    <row r="39" spans="1:4">
      <c r="A39" s="48"/>
      <c r="B39" s="61"/>
    </row>
    <row r="40" spans="1:4">
      <c r="A40" s="48"/>
      <c r="B40" s="61"/>
    </row>
    <row r="41" spans="1:4">
      <c r="A41" s="48"/>
      <c r="B41" s="61"/>
    </row>
    <row r="42" spans="1:4">
      <c r="A42" s="48"/>
      <c r="B42" s="61"/>
    </row>
    <row r="43" spans="1:4">
      <c r="A43" s="48"/>
      <c r="B43" s="61"/>
      <c r="D43" s="66"/>
    </row>
    <row r="44" spans="1:4">
      <c r="A44" s="48"/>
      <c r="B44" s="61"/>
    </row>
    <row r="45" spans="1:4">
      <c r="A45" s="48"/>
      <c r="B45" s="61"/>
    </row>
    <row r="46" spans="1:4">
      <c r="A46" s="48"/>
      <c r="B46" s="61"/>
    </row>
    <row r="47" spans="1:4">
      <c r="A47" s="48"/>
      <c r="B47" s="61"/>
    </row>
    <row r="48" spans="1:4">
      <c r="A48" s="48"/>
      <c r="B48" s="61"/>
    </row>
    <row r="49" spans="1:13">
      <c r="A49" s="48"/>
      <c r="B49" s="61"/>
    </row>
    <row r="50" spans="1:13">
      <c r="A50" s="48"/>
      <c r="B50" s="61"/>
    </row>
    <row r="51" spans="1:13">
      <c r="A51" s="48"/>
      <c r="B51" s="61"/>
    </row>
    <row r="52" spans="1:13">
      <c r="A52" s="48"/>
      <c r="B52" s="61"/>
    </row>
    <row r="53" spans="1:13">
      <c r="A53" s="48"/>
      <c r="B53" s="61"/>
    </row>
    <row r="54" spans="1:13">
      <c r="A54" s="48"/>
      <c r="B54" s="61"/>
    </row>
    <row r="55" spans="1:13">
      <c r="A55" s="746" t="s">
        <v>532</v>
      </c>
      <c r="B55" s="746"/>
      <c r="C55" s="746"/>
      <c r="D55" s="746"/>
      <c r="E55" s="746"/>
      <c r="L55" s="757" t="s">
        <v>533</v>
      </c>
      <c r="M55" s="758"/>
    </row>
    <row r="56" spans="1:13">
      <c r="A56" s="759" t="s">
        <v>181</v>
      </c>
      <c r="B56" s="759"/>
      <c r="C56" s="759"/>
      <c r="D56" s="759"/>
      <c r="E56" s="759"/>
      <c r="F56" s="701"/>
      <c r="G56" s="701"/>
      <c r="H56" s="701"/>
      <c r="I56" s="701"/>
      <c r="J56" s="701"/>
      <c r="K56" s="701"/>
      <c r="L56" s="701"/>
      <c r="M56" s="701"/>
    </row>
    <row r="57" spans="1:13">
      <c r="A57" s="247"/>
      <c r="B57" s="247"/>
      <c r="C57" s="247"/>
      <c r="D57" s="247"/>
      <c r="E57" s="259">
        <v>41455</v>
      </c>
      <c r="F57" s="244"/>
      <c r="G57" s="244"/>
      <c r="H57" s="244"/>
      <c r="I57" s="244"/>
      <c r="J57" s="244"/>
      <c r="K57" s="244"/>
      <c r="L57" s="244"/>
      <c r="M57" s="244"/>
    </row>
    <row r="58" spans="1:13" ht="12" customHeight="1">
      <c r="A58" s="725" t="s">
        <v>48</v>
      </c>
      <c r="B58" s="725"/>
      <c r="C58" s="725"/>
      <c r="D58" s="725"/>
      <c r="E58" s="725"/>
      <c r="M58" s="202" t="s">
        <v>23</v>
      </c>
    </row>
    <row r="59" spans="1:13">
      <c r="A59" s="760" t="s">
        <v>175</v>
      </c>
      <c r="B59" s="755" t="s">
        <v>174</v>
      </c>
      <c r="C59" s="750"/>
      <c r="D59" s="751"/>
      <c r="E59" s="719" t="s">
        <v>165</v>
      </c>
      <c r="F59" s="720"/>
      <c r="G59" s="721"/>
      <c r="H59" s="719" t="s">
        <v>526</v>
      </c>
      <c r="I59" s="720"/>
      <c r="J59" s="721"/>
      <c r="K59" s="749" t="s">
        <v>164</v>
      </c>
      <c r="L59" s="750"/>
      <c r="M59" s="751"/>
    </row>
    <row r="60" spans="1:13" ht="14.25" customHeight="1">
      <c r="A60" s="761"/>
      <c r="B60" s="756"/>
      <c r="C60" s="753"/>
      <c r="D60" s="754"/>
      <c r="E60" s="722"/>
      <c r="F60" s="723"/>
      <c r="G60" s="724"/>
      <c r="H60" s="722"/>
      <c r="I60" s="723"/>
      <c r="J60" s="724"/>
      <c r="K60" s="752"/>
      <c r="L60" s="753"/>
      <c r="M60" s="754"/>
    </row>
    <row r="61" spans="1:13" ht="40.799999999999997" customHeight="1">
      <c r="A61" s="204"/>
      <c r="B61" s="50" t="s">
        <v>231</v>
      </c>
      <c r="C61" s="50" t="s">
        <v>525</v>
      </c>
      <c r="D61" s="50" t="s">
        <v>743</v>
      </c>
      <c r="E61" s="50" t="s">
        <v>231</v>
      </c>
      <c r="F61" s="50" t="s">
        <v>525</v>
      </c>
      <c r="G61" s="50" t="s">
        <v>743</v>
      </c>
      <c r="H61" s="50" t="s">
        <v>231</v>
      </c>
      <c r="I61" s="50" t="s">
        <v>525</v>
      </c>
      <c r="J61" s="50" t="s">
        <v>743</v>
      </c>
      <c r="K61" s="50" t="s">
        <v>231</v>
      </c>
      <c r="L61" s="50" t="s">
        <v>525</v>
      </c>
      <c r="M61" s="50" t="s">
        <v>743</v>
      </c>
    </row>
    <row r="62" spans="1:13">
      <c r="A62" s="43" t="s">
        <v>180</v>
      </c>
      <c r="B62" s="42">
        <f>29925+1247</f>
        <v>31172</v>
      </c>
      <c r="C62" s="42">
        <v>31172</v>
      </c>
      <c r="D62" s="510">
        <v>15945</v>
      </c>
      <c r="E62" s="30"/>
      <c r="F62" s="30"/>
      <c r="G62" s="30"/>
      <c r="H62" s="30"/>
      <c r="I62" s="30"/>
      <c r="J62" s="30"/>
      <c r="K62" s="42">
        <f>+B62+E62+H62</f>
        <v>31172</v>
      </c>
      <c r="L62" s="42">
        <f t="shared" ref="L62:M62" si="1">+C62+F62+I62</f>
        <v>31172</v>
      </c>
      <c r="M62" s="42">
        <f t="shared" si="1"/>
        <v>15945</v>
      </c>
    </row>
    <row r="63" spans="1:13" ht="33.75" customHeight="1">
      <c r="A63" s="43" t="s">
        <v>179</v>
      </c>
      <c r="B63" s="42">
        <v>480</v>
      </c>
      <c r="C63" s="42">
        <v>480</v>
      </c>
      <c r="D63" s="510">
        <v>480</v>
      </c>
      <c r="E63" s="97"/>
      <c r="F63" s="195"/>
      <c r="G63" s="195"/>
      <c r="H63" s="96"/>
      <c r="I63" s="191"/>
      <c r="J63" s="191"/>
      <c r="K63" s="42">
        <f t="shared" ref="K63:K73" si="2">+B63+E63+H63</f>
        <v>480</v>
      </c>
      <c r="L63" s="42">
        <f t="shared" ref="L63:L73" si="3">+C63+F63+I63</f>
        <v>480</v>
      </c>
      <c r="M63" s="42">
        <f t="shared" ref="M63:M73" si="4">+D63+G63+J63</f>
        <v>480</v>
      </c>
    </row>
    <row r="64" spans="1:13" ht="27" customHeight="1">
      <c r="A64" s="43" t="s">
        <v>178</v>
      </c>
      <c r="B64" s="42">
        <v>499</v>
      </c>
      <c r="C64" s="42">
        <v>499</v>
      </c>
      <c r="D64" s="510">
        <v>240</v>
      </c>
      <c r="E64" s="97"/>
      <c r="F64" s="195"/>
      <c r="G64" s="195"/>
      <c r="H64" s="97"/>
      <c r="I64" s="195"/>
      <c r="J64" s="195"/>
      <c r="K64" s="42">
        <f t="shared" si="2"/>
        <v>499</v>
      </c>
      <c r="L64" s="42">
        <f t="shared" si="3"/>
        <v>499</v>
      </c>
      <c r="M64" s="42">
        <f t="shared" si="4"/>
        <v>240</v>
      </c>
    </row>
    <row r="65" spans="1:13" ht="37.799999999999997" customHeight="1">
      <c r="A65" s="43" t="s">
        <v>748</v>
      </c>
      <c r="B65" s="42">
        <v>0</v>
      </c>
      <c r="C65" s="42">
        <v>12538</v>
      </c>
      <c r="D65" s="510">
        <f>4435+7070+1</f>
        <v>11506</v>
      </c>
      <c r="E65" s="208"/>
      <c r="F65" s="208"/>
      <c r="G65" s="208"/>
      <c r="H65" s="208"/>
      <c r="I65" s="208"/>
      <c r="J65" s="208"/>
      <c r="K65" s="42">
        <f t="shared" si="2"/>
        <v>0</v>
      </c>
      <c r="L65" s="42">
        <f t="shared" si="3"/>
        <v>12538</v>
      </c>
      <c r="M65" s="42">
        <f t="shared" si="4"/>
        <v>11506</v>
      </c>
    </row>
    <row r="66" spans="1:13" ht="27" customHeight="1">
      <c r="A66" s="43" t="s">
        <v>543</v>
      </c>
      <c r="B66" s="42"/>
      <c r="C66" s="42">
        <v>1415</v>
      </c>
      <c r="D66" s="510">
        <v>1415</v>
      </c>
      <c r="E66" s="208"/>
      <c r="F66" s="208"/>
      <c r="G66" s="208"/>
      <c r="H66" s="208"/>
      <c r="I66" s="208"/>
      <c r="J66" s="208"/>
      <c r="K66" s="42"/>
      <c r="L66" s="42">
        <f t="shared" si="3"/>
        <v>1415</v>
      </c>
      <c r="M66" s="42">
        <f t="shared" si="4"/>
        <v>1415</v>
      </c>
    </row>
    <row r="67" spans="1:13" ht="27" customHeight="1">
      <c r="A67" s="174" t="s">
        <v>502</v>
      </c>
      <c r="B67" s="42"/>
      <c r="C67" s="42">
        <v>0</v>
      </c>
      <c r="D67" s="510"/>
      <c r="E67" s="42">
        <v>2000</v>
      </c>
      <c r="F67" s="42">
        <v>12901</v>
      </c>
      <c r="G67" s="510">
        <v>2918</v>
      </c>
      <c r="H67" s="99"/>
      <c r="I67" s="195"/>
      <c r="J67" s="195"/>
      <c r="K67" s="42">
        <f t="shared" si="2"/>
        <v>2000</v>
      </c>
      <c r="L67" s="42">
        <f t="shared" si="3"/>
        <v>12901</v>
      </c>
      <c r="M67" s="42">
        <f t="shared" si="4"/>
        <v>2918</v>
      </c>
    </row>
    <row r="68" spans="1:13" ht="27" customHeight="1">
      <c r="A68" s="43" t="s">
        <v>754</v>
      </c>
      <c r="B68" s="42"/>
      <c r="C68" s="42"/>
      <c r="D68" s="510"/>
      <c r="E68" s="42"/>
      <c r="F68" s="42">
        <v>0</v>
      </c>
      <c r="G68" s="510">
        <v>50</v>
      </c>
      <c r="H68" s="504"/>
      <c r="I68" s="504"/>
      <c r="J68" s="504"/>
      <c r="K68" s="42">
        <f t="shared" si="2"/>
        <v>0</v>
      </c>
      <c r="L68" s="42">
        <f t="shared" si="3"/>
        <v>0</v>
      </c>
      <c r="M68" s="42">
        <f t="shared" si="4"/>
        <v>50</v>
      </c>
    </row>
    <row r="69" spans="1:13" ht="27" customHeight="1">
      <c r="A69" s="43" t="s">
        <v>753</v>
      </c>
      <c r="B69" s="42"/>
      <c r="C69" s="42"/>
      <c r="D69" s="510"/>
      <c r="E69" s="42"/>
      <c r="F69" s="42">
        <v>100</v>
      </c>
      <c r="G69" s="510">
        <v>0</v>
      </c>
      <c r="H69" s="504"/>
      <c r="I69" s="504"/>
      <c r="J69" s="504"/>
      <c r="K69" s="42">
        <f t="shared" si="2"/>
        <v>0</v>
      </c>
      <c r="L69" s="42">
        <f t="shared" si="3"/>
        <v>100</v>
      </c>
      <c r="M69" s="42">
        <f t="shared" si="4"/>
        <v>0</v>
      </c>
    </row>
    <row r="70" spans="1:13" ht="27" customHeight="1">
      <c r="A70" s="43" t="s">
        <v>542</v>
      </c>
      <c r="B70" s="42"/>
      <c r="C70" s="42">
        <v>1260</v>
      </c>
      <c r="D70" s="510">
        <v>1260</v>
      </c>
      <c r="E70" s="42"/>
      <c r="F70" s="42">
        <v>0</v>
      </c>
      <c r="G70" s="42">
        <v>0</v>
      </c>
      <c r="H70" s="208"/>
      <c r="I70" s="208"/>
      <c r="J70" s="208"/>
      <c r="K70" s="42">
        <f t="shared" si="2"/>
        <v>0</v>
      </c>
      <c r="L70" s="42">
        <f t="shared" si="3"/>
        <v>1260</v>
      </c>
      <c r="M70" s="42">
        <f t="shared" si="4"/>
        <v>1260</v>
      </c>
    </row>
    <row r="71" spans="1:13" ht="27" customHeight="1">
      <c r="A71" s="43" t="s">
        <v>544</v>
      </c>
      <c r="B71" s="42"/>
      <c r="C71" s="42">
        <v>564</v>
      </c>
      <c r="D71" s="510">
        <v>564</v>
      </c>
      <c r="E71" s="42"/>
      <c r="F71" s="42"/>
      <c r="G71" s="42"/>
      <c r="H71" s="208"/>
      <c r="I71" s="208"/>
      <c r="J71" s="208"/>
      <c r="K71" s="42">
        <f t="shared" si="2"/>
        <v>0</v>
      </c>
      <c r="L71" s="42">
        <f t="shared" si="3"/>
        <v>564</v>
      </c>
      <c r="M71" s="42">
        <f t="shared" si="4"/>
        <v>564</v>
      </c>
    </row>
    <row r="72" spans="1:13" ht="37.799999999999997" customHeight="1">
      <c r="A72" s="43" t="s">
        <v>757</v>
      </c>
      <c r="B72" s="42"/>
      <c r="C72" s="42"/>
      <c r="D72" s="510">
        <v>733</v>
      </c>
      <c r="E72" s="513"/>
      <c r="F72" s="513"/>
      <c r="G72" s="513"/>
      <c r="H72" s="513"/>
      <c r="I72" s="513"/>
      <c r="J72" s="513"/>
      <c r="K72" s="42">
        <f>+B72+E72+H72</f>
        <v>0</v>
      </c>
      <c r="L72" s="42">
        <f>+C72+F72+I72</f>
        <v>0</v>
      </c>
      <c r="M72" s="42">
        <f>+D72+G72+J72</f>
        <v>733</v>
      </c>
    </row>
    <row r="73" spans="1:13" ht="27" customHeight="1">
      <c r="A73" s="43" t="s">
        <v>747</v>
      </c>
      <c r="B73" s="42"/>
      <c r="C73" s="42"/>
      <c r="D73" s="510">
        <v>300</v>
      </c>
      <c r="E73" s="42"/>
      <c r="F73" s="42"/>
      <c r="G73" s="42"/>
      <c r="H73" s="471"/>
      <c r="I73" s="471"/>
      <c r="J73" s="471"/>
      <c r="K73" s="42">
        <f t="shared" si="2"/>
        <v>0</v>
      </c>
      <c r="L73" s="42">
        <f t="shared" si="3"/>
        <v>0</v>
      </c>
      <c r="M73" s="42">
        <f t="shared" si="4"/>
        <v>300</v>
      </c>
    </row>
    <row r="74" spans="1:13">
      <c r="A74" s="44" t="s">
        <v>177</v>
      </c>
      <c r="B74" s="39">
        <f>SUM(B62:B73)</f>
        <v>32151</v>
      </c>
      <c r="C74" s="39">
        <f t="shared" ref="C74:E74" si="5">SUM(C62:C73)</f>
        <v>47928</v>
      </c>
      <c r="D74" s="39">
        <f t="shared" si="5"/>
        <v>32443</v>
      </c>
      <c r="E74" s="39">
        <f t="shared" si="5"/>
        <v>2000</v>
      </c>
      <c r="F74" s="39">
        <f t="shared" ref="F74" si="6">SUM(F62:F73)</f>
        <v>13001</v>
      </c>
      <c r="G74" s="39">
        <f t="shared" ref="G74:H74" si="7">SUM(G62:G73)</f>
        <v>2968</v>
      </c>
      <c r="H74" s="39">
        <f t="shared" si="7"/>
        <v>0</v>
      </c>
      <c r="I74" s="39">
        <f t="shared" ref="I74" si="8">SUM(I62:I73)</f>
        <v>0</v>
      </c>
      <c r="J74" s="39">
        <f t="shared" ref="J74:K74" si="9">SUM(J62:J73)</f>
        <v>0</v>
      </c>
      <c r="K74" s="39">
        <f t="shared" si="9"/>
        <v>34151</v>
      </c>
      <c r="L74" s="39">
        <f t="shared" ref="L74" si="10">SUM(L62:L73)</f>
        <v>60929</v>
      </c>
      <c r="M74" s="39">
        <f t="shared" ref="M74" si="11">SUM(M62:M73)</f>
        <v>35411</v>
      </c>
    </row>
    <row r="75" spans="1:13">
      <c r="A75" s="48"/>
      <c r="B75" s="61"/>
      <c r="C75" s="61"/>
      <c r="D75" s="61"/>
      <c r="E75" s="61"/>
    </row>
    <row r="76" spans="1:13">
      <c r="A76" s="48"/>
      <c r="B76" s="61"/>
      <c r="C76" s="61"/>
      <c r="D76" s="61"/>
      <c r="E76" s="61"/>
    </row>
    <row r="77" spans="1:13">
      <c r="A77" s="48"/>
      <c r="B77" s="61"/>
      <c r="C77" s="61"/>
      <c r="D77" s="61"/>
      <c r="E77" s="61"/>
    </row>
    <row r="78" spans="1:13">
      <c r="D78" s="66"/>
      <c r="H78" s="757" t="s">
        <v>534</v>
      </c>
      <c r="I78" s="758"/>
    </row>
    <row r="79" spans="1:13">
      <c r="A79" s="746" t="s">
        <v>532</v>
      </c>
      <c r="B79" s="746"/>
      <c r="C79" s="746"/>
      <c r="D79" s="746"/>
      <c r="E79" s="746"/>
    </row>
    <row r="80" spans="1:13">
      <c r="A80" s="759" t="s">
        <v>176</v>
      </c>
      <c r="B80" s="759"/>
      <c r="C80" s="759"/>
      <c r="D80" s="759"/>
      <c r="E80" s="759"/>
      <c r="F80" s="701"/>
      <c r="G80" s="701"/>
      <c r="H80" s="701"/>
      <c r="I80" s="701"/>
    </row>
    <row r="81" spans="1:11">
      <c r="A81" s="247"/>
      <c r="B81" s="247"/>
      <c r="C81" s="259">
        <v>41455</v>
      </c>
      <c r="D81" s="247"/>
      <c r="E81" s="247"/>
      <c r="F81" s="244"/>
      <c r="G81" s="244"/>
      <c r="H81" s="244"/>
      <c r="I81" s="244"/>
    </row>
    <row r="82" spans="1:11">
      <c r="A82" s="725" t="s">
        <v>48</v>
      </c>
      <c r="B82" s="725"/>
      <c r="C82" s="725"/>
      <c r="D82" s="725"/>
      <c r="E82" s="725"/>
      <c r="I82" s="21" t="s">
        <v>23</v>
      </c>
    </row>
    <row r="83" spans="1:11" ht="12.75" customHeight="1">
      <c r="A83" s="760" t="s">
        <v>175</v>
      </c>
      <c r="B83" s="755" t="s">
        <v>174</v>
      </c>
      <c r="C83" s="750"/>
      <c r="D83" s="751"/>
      <c r="E83" s="755" t="s">
        <v>165</v>
      </c>
      <c r="F83" s="750"/>
      <c r="G83" s="751"/>
      <c r="H83" s="747" t="s">
        <v>526</v>
      </c>
      <c r="I83" s="749" t="s">
        <v>164</v>
      </c>
      <c r="J83" s="750"/>
      <c r="K83" s="751"/>
    </row>
    <row r="84" spans="1:11">
      <c r="A84" s="761"/>
      <c r="B84" s="756"/>
      <c r="C84" s="753"/>
      <c r="D84" s="754"/>
      <c r="E84" s="756"/>
      <c r="F84" s="753"/>
      <c r="G84" s="754"/>
      <c r="H84" s="748"/>
      <c r="I84" s="752"/>
      <c r="J84" s="753"/>
      <c r="K84" s="754"/>
    </row>
    <row r="85" spans="1:11" ht="39.6" customHeight="1">
      <c r="A85" s="204"/>
      <c r="B85" s="50" t="s">
        <v>231</v>
      </c>
      <c r="C85" s="50" t="s">
        <v>525</v>
      </c>
      <c r="D85" s="50" t="s">
        <v>743</v>
      </c>
      <c r="E85" s="50" t="s">
        <v>231</v>
      </c>
      <c r="F85" s="50" t="s">
        <v>525</v>
      </c>
      <c r="G85" s="50" t="s">
        <v>743</v>
      </c>
      <c r="H85" s="188"/>
      <c r="I85" s="50" t="s">
        <v>231</v>
      </c>
      <c r="J85" s="50" t="s">
        <v>525</v>
      </c>
      <c r="K85" s="50" t="s">
        <v>743</v>
      </c>
    </row>
    <row r="86" spans="1:11">
      <c r="A86" s="43" t="s">
        <v>173</v>
      </c>
      <c r="B86" s="42">
        <v>4904</v>
      </c>
      <c r="C86" s="42">
        <v>4904</v>
      </c>
      <c r="D86" s="42">
        <v>57</v>
      </c>
      <c r="E86" s="30"/>
      <c r="F86" s="30"/>
      <c r="G86" s="30"/>
      <c r="H86" s="30"/>
      <c r="I86" s="41">
        <f>+B86+E86+H86</f>
        <v>4904</v>
      </c>
      <c r="J86" s="41">
        <f>+C86</f>
        <v>4904</v>
      </c>
      <c r="K86" s="41">
        <f>+D86</f>
        <v>57</v>
      </c>
    </row>
    <row r="87" spans="1:11" ht="21">
      <c r="A87" s="43" t="s">
        <v>172</v>
      </c>
      <c r="B87" s="42">
        <v>500</v>
      </c>
      <c r="C87" s="42">
        <v>500</v>
      </c>
      <c r="D87" s="42">
        <v>0</v>
      </c>
      <c r="E87" s="30"/>
      <c r="F87" s="30"/>
      <c r="G87" s="30"/>
      <c r="H87" s="30"/>
      <c r="I87" s="41">
        <f>+B87+E87+H87</f>
        <v>500</v>
      </c>
      <c r="J87" s="41">
        <f t="shared" ref="J87:J89" si="12">+C87</f>
        <v>500</v>
      </c>
      <c r="K87" s="41">
        <f t="shared" ref="K87:K89" si="13">+D87</f>
        <v>0</v>
      </c>
    </row>
    <row r="88" spans="1:11">
      <c r="A88" s="43" t="s">
        <v>755</v>
      </c>
      <c r="B88" s="96"/>
      <c r="C88" s="191"/>
      <c r="D88" s="191"/>
      <c r="E88" s="30"/>
      <c r="F88" s="30">
        <v>80</v>
      </c>
      <c r="G88" s="30">
        <v>80</v>
      </c>
      <c r="H88" s="30"/>
      <c r="I88" s="41">
        <f>+B88+E88+H88</f>
        <v>0</v>
      </c>
      <c r="J88" s="41">
        <f>+F88</f>
        <v>80</v>
      </c>
      <c r="K88" s="41">
        <f>+G88</f>
        <v>80</v>
      </c>
    </row>
    <row r="89" spans="1:11">
      <c r="A89" s="93"/>
      <c r="B89" s="96"/>
      <c r="C89" s="191"/>
      <c r="D89" s="191"/>
      <c r="E89" s="97"/>
      <c r="F89" s="504"/>
      <c r="G89" s="504"/>
      <c r="H89" s="96"/>
      <c r="I89" s="41">
        <f>+B89+E89+H89</f>
        <v>0</v>
      </c>
      <c r="J89" s="41">
        <f t="shared" si="12"/>
        <v>0</v>
      </c>
      <c r="K89" s="41">
        <f t="shared" si="13"/>
        <v>0</v>
      </c>
    </row>
    <row r="90" spans="1:11">
      <c r="A90" s="40" t="s">
        <v>171</v>
      </c>
      <c r="B90" s="39">
        <f>SUM(B86:B89)</f>
        <v>5404</v>
      </c>
      <c r="C90" s="39">
        <f t="shared" ref="C90:G90" si="14">SUM(C86:C89)</f>
        <v>5404</v>
      </c>
      <c r="D90" s="39">
        <f t="shared" si="14"/>
        <v>57</v>
      </c>
      <c r="E90" s="39">
        <f t="shared" si="14"/>
        <v>0</v>
      </c>
      <c r="F90" s="39">
        <f t="shared" si="14"/>
        <v>80</v>
      </c>
      <c r="G90" s="39">
        <f t="shared" si="14"/>
        <v>80</v>
      </c>
      <c r="H90" s="39">
        <f>SUM(H86:H89)</f>
        <v>0</v>
      </c>
      <c r="I90" s="39">
        <f>SUM(I86:I89)</f>
        <v>5404</v>
      </c>
      <c r="J90" s="39">
        <f t="shared" ref="J90:K90" si="15">SUM(J86:J89)</f>
        <v>5484</v>
      </c>
      <c r="K90" s="39">
        <f t="shared" si="15"/>
        <v>137</v>
      </c>
    </row>
    <row r="95" spans="1:11" ht="18" customHeight="1"/>
  </sheetData>
  <mergeCells count="40">
    <mergeCell ref="A2:F2"/>
    <mergeCell ref="A27:D27"/>
    <mergeCell ref="A8:C8"/>
    <mergeCell ref="A4:B4"/>
    <mergeCell ref="C4:D4"/>
    <mergeCell ref="A5:C5"/>
    <mergeCell ref="A7:C7"/>
    <mergeCell ref="D5:F5"/>
    <mergeCell ref="A15:C15"/>
    <mergeCell ref="A16:C16"/>
    <mergeCell ref="A17:C17"/>
    <mergeCell ref="A18:C18"/>
    <mergeCell ref="A19:C19"/>
    <mergeCell ref="K59:M60"/>
    <mergeCell ref="L55:M55"/>
    <mergeCell ref="A56:M56"/>
    <mergeCell ref="A79:E79"/>
    <mergeCell ref="A82:E82"/>
    <mergeCell ref="A55:E55"/>
    <mergeCell ref="A58:E58"/>
    <mergeCell ref="A59:A60"/>
    <mergeCell ref="B59:D60"/>
    <mergeCell ref="E59:G60"/>
    <mergeCell ref="H59:J60"/>
    <mergeCell ref="E83:G84"/>
    <mergeCell ref="E1:F1"/>
    <mergeCell ref="B83:D84"/>
    <mergeCell ref="I83:K84"/>
    <mergeCell ref="H78:I78"/>
    <mergeCell ref="A80:I80"/>
    <mergeCell ref="A83:A84"/>
    <mergeCell ref="H83:H84"/>
    <mergeCell ref="A29:B29"/>
    <mergeCell ref="B30:D30"/>
    <mergeCell ref="A9:C9"/>
    <mergeCell ref="A10:C10"/>
    <mergeCell ref="A11:C11"/>
    <mergeCell ref="A12:C12"/>
    <mergeCell ref="A13:C13"/>
    <mergeCell ref="A14:C14"/>
  </mergeCells>
  <printOptions horizontalCentered="1"/>
  <pageMargins left="0.23622047244094491" right="0.23622047244094491" top="0.31496062992125984" bottom="0.15748031496062992" header="0.15748031496062992" footer="0.19685039370078741"/>
  <pageSetup paperSize="9" scale="80" orientation="landscape" r:id="rId1"/>
  <headerFooter alignWithMargins="0">
    <oddHeader>&amp;LVeresegyház Város Önkormányzat</oddHeader>
    <oddFooter>&amp;LVeresegyház, 2013. Szeptember 03.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2:I94"/>
  <sheetViews>
    <sheetView workbookViewId="0">
      <selection activeCell="E17" sqref="E17"/>
    </sheetView>
  </sheetViews>
  <sheetFormatPr defaultRowHeight="13.2"/>
  <cols>
    <col min="1" max="1" width="48.44140625" customWidth="1"/>
    <col min="2" max="2" width="13.109375" customWidth="1"/>
    <col min="3" max="3" width="11.77734375" customWidth="1"/>
    <col min="4" max="4" width="14.5546875" customWidth="1"/>
    <col min="5" max="5" width="12.77734375" customWidth="1"/>
    <col min="6" max="6" width="13" customWidth="1"/>
    <col min="7" max="7" width="12" customWidth="1"/>
  </cols>
  <sheetData>
    <row r="2" spans="1:5" ht="15" customHeight="1">
      <c r="A2" s="757" t="s">
        <v>313</v>
      </c>
      <c r="B2" s="757"/>
      <c r="C2" s="757"/>
      <c r="D2" s="757"/>
      <c r="E2" s="192"/>
    </row>
    <row r="3" spans="1:5">
      <c r="A3" s="56" t="s">
        <v>309</v>
      </c>
      <c r="B3" s="56"/>
      <c r="C3" s="56"/>
      <c r="D3" s="56"/>
      <c r="E3" s="56"/>
    </row>
    <row r="4" spans="1:5">
      <c r="A4" s="56"/>
      <c r="B4" s="263">
        <v>41455</v>
      </c>
      <c r="C4" s="56"/>
      <c r="D4" s="56"/>
      <c r="E4" s="56"/>
    </row>
    <row r="5" spans="1:5" ht="13.5" customHeight="1">
      <c r="A5" s="21"/>
      <c r="B5" s="21"/>
      <c r="C5" s="57"/>
      <c r="D5" s="57" t="s">
        <v>0</v>
      </c>
    </row>
    <row r="6" spans="1:5" ht="31.5" customHeight="1">
      <c r="A6" s="32" t="s">
        <v>187</v>
      </c>
      <c r="B6" s="717" t="s">
        <v>150</v>
      </c>
      <c r="C6" s="718"/>
      <c r="D6" s="738"/>
    </row>
    <row r="7" spans="1:5" ht="31.5" customHeight="1">
      <c r="A7" s="32"/>
      <c r="B7" s="50" t="s">
        <v>231</v>
      </c>
      <c r="C7" s="50" t="s">
        <v>525</v>
      </c>
      <c r="D7" s="50" t="s">
        <v>743</v>
      </c>
    </row>
    <row r="8" spans="1:5">
      <c r="A8" s="63" t="s">
        <v>203</v>
      </c>
      <c r="B8" s="24">
        <v>204276</v>
      </c>
      <c r="C8" s="24">
        <v>245425</v>
      </c>
      <c r="D8" s="24">
        <v>234278</v>
      </c>
    </row>
    <row r="9" spans="1:5">
      <c r="A9" s="63" t="s">
        <v>468</v>
      </c>
      <c r="B9" s="24">
        <v>147573</v>
      </c>
      <c r="C9" s="94">
        <v>147573</v>
      </c>
      <c r="D9" s="24">
        <v>6337</v>
      </c>
    </row>
    <row r="10" spans="1:5">
      <c r="A10" s="63" t="s">
        <v>469</v>
      </c>
      <c r="B10" s="24">
        <v>7420</v>
      </c>
      <c r="C10" s="24">
        <v>7420</v>
      </c>
      <c r="D10" s="24">
        <v>883</v>
      </c>
    </row>
    <row r="11" spans="1:5">
      <c r="A11" s="63" t="s">
        <v>470</v>
      </c>
      <c r="B11" s="24">
        <v>3200</v>
      </c>
      <c r="C11" s="24">
        <v>3200</v>
      </c>
      <c r="D11" s="24">
        <v>234</v>
      </c>
    </row>
    <row r="12" spans="1:5">
      <c r="A12" s="63" t="s">
        <v>204</v>
      </c>
      <c r="B12" s="24">
        <v>430555</v>
      </c>
      <c r="C12" s="24">
        <v>440473</v>
      </c>
      <c r="D12" s="24">
        <v>202365</v>
      </c>
    </row>
    <row r="13" spans="1:5">
      <c r="A13" s="63" t="s">
        <v>196</v>
      </c>
      <c r="B13" s="24">
        <v>82854</v>
      </c>
      <c r="C13" s="24">
        <v>89741</v>
      </c>
      <c r="D13" s="24">
        <v>41644</v>
      </c>
    </row>
    <row r="14" spans="1:5">
      <c r="A14" s="63" t="s">
        <v>205</v>
      </c>
      <c r="B14" s="24">
        <v>434186</v>
      </c>
      <c r="C14" s="24">
        <v>445258</v>
      </c>
      <c r="D14" s="24">
        <v>223434</v>
      </c>
    </row>
    <row r="15" spans="1:5">
      <c r="A15" s="63" t="s">
        <v>206</v>
      </c>
      <c r="B15" s="24">
        <v>14615</v>
      </c>
      <c r="C15" s="24">
        <v>14988</v>
      </c>
      <c r="D15" s="24">
        <v>7856</v>
      </c>
    </row>
    <row r="16" spans="1:5">
      <c r="A16" s="63" t="s">
        <v>207</v>
      </c>
      <c r="B16" s="24">
        <v>85098</v>
      </c>
      <c r="C16" s="24">
        <v>85859</v>
      </c>
      <c r="D16" s="24">
        <v>39083</v>
      </c>
    </row>
    <row r="17" spans="1:5">
      <c r="A17" s="63" t="s">
        <v>471</v>
      </c>
      <c r="B17" s="24">
        <v>77959</v>
      </c>
      <c r="C17" s="24">
        <v>79539</v>
      </c>
      <c r="D17" s="24">
        <v>50213</v>
      </c>
      <c r="E17" s="66"/>
    </row>
    <row r="18" spans="1:5" ht="18" customHeight="1">
      <c r="A18" s="23" t="s">
        <v>15</v>
      </c>
      <c r="B18" s="25">
        <f>SUM(B8:B17)</f>
        <v>1487736</v>
      </c>
      <c r="C18" s="25">
        <f t="shared" ref="C18:D18" si="0">SUM(C8:C17)</f>
        <v>1559476</v>
      </c>
      <c r="D18" s="511">
        <f t="shared" si="0"/>
        <v>806327</v>
      </c>
    </row>
    <row r="19" spans="1:5">
      <c r="A19" s="21"/>
      <c r="B19" s="21"/>
      <c r="C19" s="21"/>
      <c r="D19" s="21"/>
      <c r="E19" s="21"/>
    </row>
    <row r="20" spans="1:5">
      <c r="A20" s="21"/>
      <c r="B20" s="21"/>
      <c r="C20" s="21"/>
      <c r="D20" s="515"/>
      <c r="E20" s="21"/>
    </row>
    <row r="21" spans="1:5">
      <c r="A21" s="21"/>
      <c r="B21" s="21"/>
      <c r="C21" s="21"/>
      <c r="D21" s="21"/>
      <c r="E21" s="21"/>
    </row>
    <row r="22" spans="1:5">
      <c r="A22" s="757" t="s">
        <v>314</v>
      </c>
      <c r="B22" s="757"/>
      <c r="C22" s="757"/>
      <c r="D22" s="757"/>
      <c r="E22" s="192"/>
    </row>
    <row r="23" spans="1:5">
      <c r="A23" s="56" t="s">
        <v>310</v>
      </c>
      <c r="B23" s="56"/>
      <c r="C23" s="56"/>
      <c r="D23" s="56"/>
      <c r="E23" s="56"/>
    </row>
    <row r="24" spans="1:5">
      <c r="A24" s="264"/>
      <c r="B24" s="263">
        <v>41455</v>
      </c>
      <c r="C24" s="56"/>
      <c r="D24" s="56"/>
      <c r="E24" s="56"/>
    </row>
    <row r="25" spans="1:5">
      <c r="A25" s="21"/>
      <c r="B25" s="21"/>
      <c r="C25" s="58"/>
      <c r="D25" s="58" t="s">
        <v>0</v>
      </c>
    </row>
    <row r="26" spans="1:5">
      <c r="A26" s="32" t="s">
        <v>187</v>
      </c>
      <c r="B26" s="717" t="s">
        <v>150</v>
      </c>
      <c r="C26" s="718"/>
      <c r="D26" s="738"/>
    </row>
    <row r="27" spans="1:5" ht="34.799999999999997" customHeight="1">
      <c r="A27" s="32"/>
      <c r="B27" s="50" t="s">
        <v>231</v>
      </c>
      <c r="C27" s="50" t="s">
        <v>525</v>
      </c>
      <c r="D27" s="50" t="s">
        <v>743</v>
      </c>
    </row>
    <row r="28" spans="1:5">
      <c r="A28" s="63" t="s">
        <v>203</v>
      </c>
      <c r="B28" s="24">
        <v>17754</v>
      </c>
      <c r="C28" s="24">
        <v>26459</v>
      </c>
      <c r="D28" s="24">
        <v>0</v>
      </c>
    </row>
    <row r="29" spans="1:5">
      <c r="A29" s="63" t="s">
        <v>208</v>
      </c>
      <c r="B29" s="24">
        <v>254</v>
      </c>
      <c r="C29" s="24">
        <v>254</v>
      </c>
      <c r="D29" s="24">
        <v>0</v>
      </c>
    </row>
    <row r="30" spans="1:5">
      <c r="A30" s="23" t="s">
        <v>43</v>
      </c>
      <c r="B30" s="25">
        <f>SUM(B28:B29)</f>
        <v>18008</v>
      </c>
      <c r="C30" s="25">
        <f t="shared" ref="C30:D30" si="1">SUM(C28:C29)</f>
        <v>26713</v>
      </c>
      <c r="D30" s="25">
        <f t="shared" si="1"/>
        <v>0</v>
      </c>
    </row>
    <row r="31" spans="1:5">
      <c r="A31" s="54"/>
      <c r="B31" s="171"/>
      <c r="C31" s="54"/>
      <c r="D31" s="54"/>
      <c r="E31" s="171"/>
    </row>
    <row r="32" spans="1:5">
      <c r="A32" s="54"/>
      <c r="B32" s="171"/>
      <c r="C32" s="54"/>
      <c r="D32" s="54"/>
      <c r="E32" s="171"/>
    </row>
    <row r="33" spans="1:5">
      <c r="A33" s="54"/>
      <c r="B33" s="171"/>
      <c r="C33" s="54"/>
      <c r="D33" s="54"/>
      <c r="E33" s="171"/>
    </row>
    <row r="34" spans="1:5">
      <c r="A34" s="21"/>
      <c r="B34" s="21"/>
      <c r="C34" s="21"/>
      <c r="D34" s="21"/>
      <c r="E34" s="21"/>
    </row>
    <row r="35" spans="1:5">
      <c r="A35" s="757" t="s">
        <v>315</v>
      </c>
      <c r="B35" s="757"/>
      <c r="C35" s="757"/>
      <c r="D35" s="757"/>
      <c r="E35" s="192"/>
    </row>
    <row r="36" spans="1:5">
      <c r="A36" s="21"/>
      <c r="B36" s="21"/>
      <c r="C36" s="21"/>
      <c r="D36" s="21"/>
      <c r="E36" s="21"/>
    </row>
    <row r="37" spans="1:5">
      <c r="A37" s="775" t="s">
        <v>467</v>
      </c>
      <c r="B37" s="775"/>
      <c r="C37" s="775"/>
      <c r="D37" s="775"/>
      <c r="E37" s="192"/>
    </row>
    <row r="38" spans="1:5">
      <c r="A38" s="264">
        <v>41455</v>
      </c>
      <c r="B38" s="262"/>
      <c r="C38" s="249"/>
      <c r="D38" s="249"/>
      <c r="E38" s="248"/>
    </row>
    <row r="39" spans="1:5">
      <c r="A39" s="725" t="s">
        <v>0</v>
      </c>
      <c r="B39" s="725"/>
      <c r="C39" s="725"/>
      <c r="D39" s="725"/>
      <c r="E39" s="180"/>
    </row>
    <row r="40" spans="1:5">
      <c r="A40" s="32" t="s">
        <v>187</v>
      </c>
      <c r="B40" s="717" t="s">
        <v>150</v>
      </c>
      <c r="C40" s="718"/>
      <c r="D40" s="738"/>
      <c r="E40" s="52"/>
    </row>
    <row r="41" spans="1:5" ht="30.6">
      <c r="A41" s="32"/>
      <c r="B41" s="50" t="s">
        <v>231</v>
      </c>
      <c r="C41" s="50" t="s">
        <v>525</v>
      </c>
      <c r="D41" s="50" t="s">
        <v>743</v>
      </c>
    </row>
    <row r="42" spans="1:5">
      <c r="A42" s="94" t="s">
        <v>209</v>
      </c>
      <c r="B42" s="53">
        <v>32000</v>
      </c>
      <c r="C42" s="53">
        <v>30694</v>
      </c>
      <c r="D42" s="24">
        <v>23670</v>
      </c>
    </row>
    <row r="43" spans="1:5">
      <c r="A43" s="275" t="s">
        <v>593</v>
      </c>
      <c r="B43" s="53"/>
      <c r="C43" s="53">
        <v>15000</v>
      </c>
      <c r="D43" s="24">
        <v>15000</v>
      </c>
    </row>
    <row r="44" spans="1:5">
      <c r="A44" s="23" t="s">
        <v>43</v>
      </c>
      <c r="B44" s="25">
        <f>SUM(B42:B43)</f>
        <v>32000</v>
      </c>
      <c r="C44" s="25">
        <f>SUM(C42:C43)</f>
        <v>45694</v>
      </c>
      <c r="D44" s="25">
        <f>SUM(D42:D43)</f>
        <v>38670</v>
      </c>
    </row>
    <row r="45" spans="1:5">
      <c r="A45" s="54"/>
      <c r="B45" s="171"/>
      <c r="C45" s="171"/>
      <c r="D45" s="171"/>
      <c r="E45" s="171"/>
    </row>
    <row r="46" spans="1:5">
      <c r="A46" s="54"/>
      <c r="B46" s="171"/>
      <c r="C46" s="171"/>
      <c r="D46" s="171"/>
      <c r="E46" s="171"/>
    </row>
    <row r="47" spans="1:5">
      <c r="A47" s="54"/>
      <c r="B47" s="171"/>
      <c r="C47" s="171"/>
      <c r="D47" s="171"/>
      <c r="E47" s="171"/>
    </row>
    <row r="48" spans="1:5">
      <c r="A48" s="54"/>
      <c r="B48" s="171"/>
      <c r="C48" s="171"/>
      <c r="D48" s="171"/>
      <c r="E48" s="171"/>
    </row>
    <row r="49" spans="1:9">
      <c r="A49" s="54"/>
      <c r="B49" s="171"/>
      <c r="C49" s="171"/>
      <c r="D49" s="171"/>
      <c r="E49" s="171"/>
    </row>
    <row r="50" spans="1:9">
      <c r="A50" s="54"/>
      <c r="B50" s="171"/>
      <c r="C50" s="171"/>
      <c r="D50" s="171"/>
      <c r="E50" s="171"/>
    </row>
    <row r="51" spans="1:9">
      <c r="A51" s="757" t="s">
        <v>316</v>
      </c>
      <c r="B51" s="757"/>
      <c r="C51" s="757"/>
      <c r="D51" s="757"/>
      <c r="E51" s="192"/>
    </row>
    <row r="52" spans="1:9" ht="15.75" customHeight="1">
      <c r="A52" s="775" t="s">
        <v>212</v>
      </c>
      <c r="B52" s="775"/>
      <c r="C52" s="775"/>
      <c r="D52" s="775"/>
      <c r="E52" s="193"/>
    </row>
    <row r="53" spans="1:9" ht="15.75" customHeight="1">
      <c r="A53" s="264">
        <v>41455</v>
      </c>
      <c r="B53" s="249"/>
      <c r="C53" s="249"/>
      <c r="D53" s="249"/>
      <c r="E53" s="249"/>
    </row>
    <row r="54" spans="1:9">
      <c r="A54" s="725" t="s">
        <v>0</v>
      </c>
      <c r="B54" s="725"/>
      <c r="C54" s="725"/>
      <c r="D54" s="725"/>
      <c r="E54" s="180"/>
    </row>
    <row r="55" spans="1:9" ht="17.399999999999999" customHeight="1">
      <c r="A55" s="32" t="s">
        <v>187</v>
      </c>
      <c r="B55" s="717" t="s">
        <v>150</v>
      </c>
      <c r="C55" s="718"/>
      <c r="D55" s="738"/>
      <c r="E55" s="52"/>
    </row>
    <row r="56" spans="1:9" ht="29.4" customHeight="1">
      <c r="A56" s="32"/>
      <c r="B56" s="50" t="s">
        <v>231</v>
      </c>
      <c r="C56" s="50" t="s">
        <v>525</v>
      </c>
      <c r="D56" s="50" t="s">
        <v>743</v>
      </c>
      <c r="E56" s="29"/>
    </row>
    <row r="57" spans="1:9" ht="26.25" customHeight="1">
      <c r="A57" s="55" t="s">
        <v>195</v>
      </c>
      <c r="B57" s="53">
        <v>57670</v>
      </c>
      <c r="C57" s="53">
        <v>57670</v>
      </c>
      <c r="D57" s="24">
        <v>20374</v>
      </c>
    </row>
    <row r="58" spans="1:9">
      <c r="A58" s="23" t="s">
        <v>43</v>
      </c>
      <c r="B58" s="25">
        <f>SUM(B57:B57)</f>
        <v>57670</v>
      </c>
      <c r="C58" s="25">
        <f>SUM(C57:C57)</f>
        <v>57670</v>
      </c>
      <c r="D58" s="25">
        <f>SUM(D57:D57)</f>
        <v>20374</v>
      </c>
    </row>
    <row r="59" spans="1:9">
      <c r="A59" s="54"/>
      <c r="B59" s="54"/>
      <c r="C59" s="46"/>
      <c r="D59" s="46"/>
      <c r="E59" s="46"/>
    </row>
    <row r="60" spans="1:9">
      <c r="A60" s="757" t="s">
        <v>317</v>
      </c>
      <c r="B60" s="757"/>
      <c r="C60" s="757"/>
      <c r="D60" s="757"/>
      <c r="E60" s="757"/>
      <c r="F60" s="701"/>
      <c r="G60" s="701"/>
      <c r="H60" s="701"/>
      <c r="I60" s="701"/>
    </row>
    <row r="61" spans="1:9" ht="13.5" customHeight="1">
      <c r="A61" s="775" t="s">
        <v>211</v>
      </c>
      <c r="B61" s="775"/>
      <c r="C61" s="775"/>
      <c r="D61" s="775"/>
      <c r="E61" s="775"/>
      <c r="F61" s="701"/>
      <c r="G61" s="701"/>
      <c r="H61" s="701"/>
      <c r="I61" s="701"/>
    </row>
    <row r="62" spans="1:9" ht="13.5" customHeight="1">
      <c r="A62" s="249"/>
      <c r="C62" s="264">
        <v>41455</v>
      </c>
      <c r="D62" s="249"/>
      <c r="E62" s="249"/>
    </row>
    <row r="63" spans="1:9">
      <c r="A63" s="725" t="s">
        <v>0</v>
      </c>
      <c r="B63" s="725"/>
      <c r="C63" s="725"/>
      <c r="D63" s="725"/>
      <c r="E63" s="725"/>
      <c r="F63" s="726"/>
      <c r="G63" s="726"/>
      <c r="H63" s="726"/>
      <c r="I63" s="726"/>
    </row>
    <row r="64" spans="1:9" ht="30" customHeight="1">
      <c r="A64" s="32" t="s">
        <v>187</v>
      </c>
      <c r="B64" s="717" t="s">
        <v>150</v>
      </c>
      <c r="C64" s="739"/>
      <c r="D64" s="740"/>
      <c r="E64" s="50" t="s">
        <v>165</v>
      </c>
      <c r="F64" s="50" t="s">
        <v>204</v>
      </c>
      <c r="G64" s="717" t="s">
        <v>186</v>
      </c>
      <c r="H64" s="739"/>
      <c r="I64" s="740"/>
    </row>
    <row r="65" spans="1:9" ht="31.2" customHeight="1">
      <c r="A65" s="32"/>
      <c r="B65" s="50" t="s">
        <v>231</v>
      </c>
      <c r="C65" s="50" t="s">
        <v>525</v>
      </c>
      <c r="D65" s="50" t="s">
        <v>743</v>
      </c>
      <c r="E65" s="50" t="s">
        <v>743</v>
      </c>
      <c r="F65" s="50" t="s">
        <v>743</v>
      </c>
      <c r="G65" s="50" t="s">
        <v>231</v>
      </c>
      <c r="H65" s="50" t="s">
        <v>525</v>
      </c>
      <c r="I65" s="50" t="s">
        <v>743</v>
      </c>
    </row>
    <row r="66" spans="1:9" ht="27" customHeight="1">
      <c r="A66" s="55" t="s">
        <v>210</v>
      </c>
      <c r="B66" s="53">
        <v>1200</v>
      </c>
      <c r="C66" s="64">
        <v>1200</v>
      </c>
      <c r="D66" s="53">
        <v>561</v>
      </c>
      <c r="E66" s="9"/>
      <c r="F66" s="9"/>
      <c r="G66" s="24">
        <f>+B66</f>
        <v>1200</v>
      </c>
      <c r="H66" s="24">
        <f t="shared" ref="H66:I83" si="2">+C66</f>
        <v>1200</v>
      </c>
      <c r="I66" s="24">
        <f t="shared" si="2"/>
        <v>561</v>
      </c>
    </row>
    <row r="67" spans="1:9" ht="16.5" customHeight="1">
      <c r="A67" s="71" t="s">
        <v>311</v>
      </c>
      <c r="B67" s="53">
        <v>423</v>
      </c>
      <c r="C67" s="64">
        <v>423</v>
      </c>
      <c r="D67" s="53">
        <v>423</v>
      </c>
      <c r="E67" s="9"/>
      <c r="F67" s="9"/>
      <c r="G67" s="24">
        <f t="shared" ref="G67:G82" si="3">+B67</f>
        <v>423</v>
      </c>
      <c r="H67" s="24">
        <f t="shared" si="2"/>
        <v>423</v>
      </c>
      <c r="I67" s="24">
        <f t="shared" si="2"/>
        <v>423</v>
      </c>
    </row>
    <row r="68" spans="1:9" ht="15.75" customHeight="1">
      <c r="A68" s="9" t="s">
        <v>194</v>
      </c>
      <c r="B68" s="53">
        <v>2000</v>
      </c>
      <c r="C68" s="64">
        <v>2000</v>
      </c>
      <c r="D68" s="53"/>
      <c r="E68" s="9"/>
      <c r="F68" s="9"/>
      <c r="G68" s="24">
        <f t="shared" si="3"/>
        <v>2000</v>
      </c>
      <c r="H68" s="24">
        <f t="shared" si="2"/>
        <v>2000</v>
      </c>
      <c r="I68" s="24">
        <f t="shared" si="2"/>
        <v>0</v>
      </c>
    </row>
    <row r="69" spans="1:9" ht="15.75" customHeight="1">
      <c r="A69" s="9" t="s">
        <v>193</v>
      </c>
      <c r="B69" s="64">
        <v>3560</v>
      </c>
      <c r="C69" s="64">
        <v>3560</v>
      </c>
      <c r="D69" s="53">
        <v>2015</v>
      </c>
      <c r="E69" s="9"/>
      <c r="F69" s="9"/>
      <c r="G69" s="24">
        <f t="shared" si="3"/>
        <v>3560</v>
      </c>
      <c r="H69" s="24">
        <f t="shared" si="2"/>
        <v>3560</v>
      </c>
      <c r="I69" s="24">
        <f t="shared" si="2"/>
        <v>2015</v>
      </c>
    </row>
    <row r="70" spans="1:9" ht="14.25" customHeight="1">
      <c r="A70" s="178" t="s">
        <v>522</v>
      </c>
      <c r="B70" s="64">
        <v>5500</v>
      </c>
      <c r="C70" s="64">
        <v>5500</v>
      </c>
      <c r="D70" s="53">
        <f>225+300+50+70+1178</f>
        <v>1823</v>
      </c>
      <c r="E70" s="9"/>
      <c r="F70" s="9"/>
      <c r="G70" s="24">
        <f t="shared" si="3"/>
        <v>5500</v>
      </c>
      <c r="H70" s="24">
        <f t="shared" si="2"/>
        <v>5500</v>
      </c>
      <c r="I70" s="24">
        <f t="shared" si="2"/>
        <v>1823</v>
      </c>
    </row>
    <row r="71" spans="1:9" ht="15" customHeight="1">
      <c r="A71" s="9" t="s">
        <v>191</v>
      </c>
      <c r="B71" s="64">
        <v>1500</v>
      </c>
      <c r="C71" s="64">
        <v>1500</v>
      </c>
      <c r="D71" s="53"/>
      <c r="E71" s="9"/>
      <c r="F71" s="9"/>
      <c r="G71" s="24">
        <f t="shared" si="3"/>
        <v>1500</v>
      </c>
      <c r="H71" s="24">
        <f t="shared" si="2"/>
        <v>1500</v>
      </c>
      <c r="I71" s="24">
        <f t="shared" si="2"/>
        <v>0</v>
      </c>
    </row>
    <row r="72" spans="1:9" ht="16.5" customHeight="1">
      <c r="A72" s="9" t="s">
        <v>190</v>
      </c>
      <c r="B72" s="53">
        <v>2000</v>
      </c>
      <c r="C72" s="64">
        <v>2000</v>
      </c>
      <c r="D72" s="53">
        <v>417</v>
      </c>
      <c r="E72" s="9"/>
      <c r="F72" s="9"/>
      <c r="G72" s="24">
        <f t="shared" si="3"/>
        <v>2000</v>
      </c>
      <c r="H72" s="24">
        <f t="shared" si="2"/>
        <v>2000</v>
      </c>
      <c r="I72" s="24">
        <f t="shared" si="2"/>
        <v>417</v>
      </c>
    </row>
    <row r="73" spans="1:9" ht="16.5" customHeight="1">
      <c r="A73" s="178" t="s">
        <v>521</v>
      </c>
      <c r="B73" s="53">
        <v>1500</v>
      </c>
      <c r="C73" s="64">
        <v>1500</v>
      </c>
      <c r="D73" s="53">
        <v>82</v>
      </c>
      <c r="E73" s="9"/>
      <c r="F73" s="9"/>
      <c r="G73" s="24">
        <f t="shared" si="3"/>
        <v>1500</v>
      </c>
      <c r="H73" s="24">
        <f t="shared" si="2"/>
        <v>1500</v>
      </c>
      <c r="I73" s="24">
        <f t="shared" si="2"/>
        <v>82</v>
      </c>
    </row>
    <row r="74" spans="1:9" ht="15.75" customHeight="1">
      <c r="A74" s="9" t="s">
        <v>192</v>
      </c>
      <c r="B74" s="64">
        <v>30000</v>
      </c>
      <c r="C74" s="64">
        <v>30000</v>
      </c>
      <c r="D74" s="53">
        <v>17100</v>
      </c>
      <c r="E74" s="9"/>
      <c r="F74" s="9"/>
      <c r="G74" s="24">
        <f t="shared" si="3"/>
        <v>30000</v>
      </c>
      <c r="H74" s="24">
        <f t="shared" si="2"/>
        <v>30000</v>
      </c>
      <c r="I74" s="24">
        <f t="shared" si="2"/>
        <v>17100</v>
      </c>
    </row>
    <row r="75" spans="1:9" ht="15" customHeight="1">
      <c r="A75" s="9" t="s">
        <v>189</v>
      </c>
      <c r="B75" s="53">
        <v>300</v>
      </c>
      <c r="C75" s="64">
        <v>300</v>
      </c>
      <c r="D75" s="53"/>
      <c r="E75" s="9"/>
      <c r="F75" s="9"/>
      <c r="G75" s="24">
        <f t="shared" si="3"/>
        <v>300</v>
      </c>
      <c r="H75" s="24">
        <f t="shared" si="2"/>
        <v>300</v>
      </c>
      <c r="I75" s="24">
        <f t="shared" si="2"/>
        <v>0</v>
      </c>
    </row>
    <row r="76" spans="1:9" ht="15" customHeight="1">
      <c r="A76" s="496" t="s">
        <v>750</v>
      </c>
      <c r="B76" s="53"/>
      <c r="C76" s="64">
        <v>0</v>
      </c>
      <c r="D76" s="53">
        <v>350</v>
      </c>
      <c r="E76" s="496"/>
      <c r="F76" s="496"/>
      <c r="G76" s="24">
        <f t="shared" si="3"/>
        <v>0</v>
      </c>
      <c r="H76" s="24">
        <f t="shared" si="2"/>
        <v>0</v>
      </c>
      <c r="I76" s="24">
        <f t="shared" si="2"/>
        <v>350</v>
      </c>
    </row>
    <row r="77" spans="1:9" ht="13.5" customHeight="1">
      <c r="A77" s="9" t="s">
        <v>188</v>
      </c>
      <c r="B77" s="53">
        <v>9000</v>
      </c>
      <c r="C77" s="64">
        <v>9000</v>
      </c>
      <c r="D77" s="53"/>
      <c r="E77" s="9"/>
      <c r="F77" s="9"/>
      <c r="G77" s="24">
        <f t="shared" si="3"/>
        <v>9000</v>
      </c>
      <c r="H77" s="24">
        <f t="shared" si="2"/>
        <v>9000</v>
      </c>
      <c r="I77" s="24">
        <f t="shared" si="2"/>
        <v>0</v>
      </c>
    </row>
    <row r="78" spans="1:9" ht="14.25" customHeight="1">
      <c r="A78" s="178" t="s">
        <v>520</v>
      </c>
      <c r="B78" s="53">
        <v>4000</v>
      </c>
      <c r="C78" s="64">
        <v>4000</v>
      </c>
      <c r="D78" s="53"/>
      <c r="E78" s="9"/>
      <c r="F78" s="9"/>
      <c r="G78" s="24">
        <f t="shared" si="3"/>
        <v>4000</v>
      </c>
      <c r="H78" s="24">
        <f t="shared" si="2"/>
        <v>4000</v>
      </c>
      <c r="I78" s="24">
        <f t="shared" si="2"/>
        <v>0</v>
      </c>
    </row>
    <row r="79" spans="1:9" ht="14.25" customHeight="1">
      <c r="A79" s="275" t="s">
        <v>587</v>
      </c>
      <c r="B79" s="53">
        <v>0</v>
      </c>
      <c r="C79" s="64">
        <v>1680</v>
      </c>
      <c r="D79" s="53">
        <v>1680</v>
      </c>
      <c r="E79" s="275"/>
      <c r="F79" s="275"/>
      <c r="G79" s="24">
        <f t="shared" si="3"/>
        <v>0</v>
      </c>
      <c r="H79" s="24">
        <f t="shared" si="2"/>
        <v>1680</v>
      </c>
      <c r="I79" s="24">
        <f t="shared" si="2"/>
        <v>1680</v>
      </c>
    </row>
    <row r="80" spans="1:9" ht="14.25" customHeight="1">
      <c r="A80" s="275" t="s">
        <v>590</v>
      </c>
      <c r="B80" s="53">
        <v>0</v>
      </c>
      <c r="C80" s="64">
        <v>2580</v>
      </c>
      <c r="D80" s="53">
        <v>2580</v>
      </c>
      <c r="E80" s="275"/>
      <c r="F80" s="275"/>
      <c r="G80" s="24">
        <f t="shared" si="3"/>
        <v>0</v>
      </c>
      <c r="H80" s="24">
        <f t="shared" si="2"/>
        <v>2580</v>
      </c>
      <c r="I80" s="24">
        <f t="shared" si="2"/>
        <v>2580</v>
      </c>
    </row>
    <row r="81" spans="1:9" ht="14.25" customHeight="1">
      <c r="A81" s="275" t="s">
        <v>588</v>
      </c>
      <c r="B81" s="53">
        <v>0</v>
      </c>
      <c r="C81" s="64">
        <v>100</v>
      </c>
      <c r="D81" s="53">
        <v>100</v>
      </c>
      <c r="E81" s="275"/>
      <c r="F81" s="275"/>
      <c r="G81" s="24">
        <f t="shared" si="3"/>
        <v>0</v>
      </c>
      <c r="H81" s="24">
        <f t="shared" si="2"/>
        <v>100</v>
      </c>
      <c r="I81" s="24">
        <f t="shared" si="2"/>
        <v>100</v>
      </c>
    </row>
    <row r="82" spans="1:9" ht="14.25" customHeight="1">
      <c r="A82" s="275" t="s">
        <v>589</v>
      </c>
      <c r="B82" s="53">
        <v>0</v>
      </c>
      <c r="C82" s="64">
        <v>2000</v>
      </c>
      <c r="D82" s="53">
        <v>2000</v>
      </c>
      <c r="E82" s="250"/>
      <c r="F82" s="250"/>
      <c r="G82" s="24">
        <f t="shared" si="3"/>
        <v>0</v>
      </c>
      <c r="H82" s="24">
        <f t="shared" si="2"/>
        <v>2000</v>
      </c>
      <c r="I82" s="24">
        <f t="shared" si="2"/>
        <v>2000</v>
      </c>
    </row>
    <row r="83" spans="1:9" ht="14.25" customHeight="1">
      <c r="A83" s="275" t="s">
        <v>592</v>
      </c>
      <c r="B83" s="53"/>
      <c r="C83" s="64">
        <v>30000</v>
      </c>
      <c r="D83" s="53">
        <v>30000</v>
      </c>
      <c r="E83" s="275"/>
      <c r="F83" s="275"/>
      <c r="G83" s="24"/>
      <c r="H83" s="24">
        <f t="shared" si="2"/>
        <v>30000</v>
      </c>
      <c r="I83" s="24">
        <f t="shared" si="2"/>
        <v>30000</v>
      </c>
    </row>
    <row r="84" spans="1:9" ht="16.5" customHeight="1">
      <c r="A84" s="23" t="s">
        <v>43</v>
      </c>
      <c r="B84" s="25">
        <f>SUM(B66:B83)</f>
        <v>60983</v>
      </c>
      <c r="C84" s="25">
        <f>SUM(C66:C83)</f>
        <v>97343</v>
      </c>
      <c r="D84" s="25">
        <f t="shared" ref="D84:I84" si="4">SUM(D66:D83)</f>
        <v>59131</v>
      </c>
      <c r="E84" s="25">
        <f t="shared" si="4"/>
        <v>0</v>
      </c>
      <c r="F84" s="25">
        <f t="shared" si="4"/>
        <v>0</v>
      </c>
      <c r="G84" s="25">
        <f t="shared" si="4"/>
        <v>60983</v>
      </c>
      <c r="H84" s="25">
        <f t="shared" si="4"/>
        <v>97343</v>
      </c>
      <c r="I84" s="25">
        <f t="shared" si="4"/>
        <v>59131</v>
      </c>
    </row>
    <row r="85" spans="1:9">
      <c r="A85" s="21"/>
      <c r="B85" s="21"/>
      <c r="C85" s="21"/>
      <c r="D85" s="21"/>
      <c r="E85" s="505"/>
    </row>
    <row r="86" spans="1:9" ht="13.2" customHeight="1">
      <c r="A86" s="757" t="s">
        <v>466</v>
      </c>
      <c r="B86" s="757"/>
      <c r="C86" s="757"/>
      <c r="D86" s="757"/>
      <c r="E86" s="757"/>
      <c r="F86" s="701"/>
      <c r="G86" s="701"/>
      <c r="H86" s="701"/>
      <c r="I86" s="701"/>
    </row>
    <row r="87" spans="1:9" ht="9" customHeight="1">
      <c r="A87" s="775" t="s">
        <v>213</v>
      </c>
      <c r="B87" s="775"/>
      <c r="C87" s="775"/>
      <c r="D87" s="775"/>
      <c r="E87" s="775"/>
      <c r="F87" s="701"/>
      <c r="G87" s="701"/>
      <c r="H87" s="701"/>
      <c r="I87" s="701"/>
    </row>
    <row r="88" spans="1:9">
      <c r="A88" s="249"/>
      <c r="C88" s="264">
        <v>41455</v>
      </c>
      <c r="D88" s="249"/>
      <c r="E88" s="249"/>
    </row>
    <row r="89" spans="1:9">
      <c r="A89" s="725" t="s">
        <v>0</v>
      </c>
      <c r="B89" s="725"/>
      <c r="C89" s="725"/>
      <c r="D89" s="725"/>
      <c r="E89" s="725"/>
      <c r="F89" s="726"/>
      <c r="G89" s="726"/>
      <c r="H89" s="726"/>
      <c r="I89" s="726"/>
    </row>
    <row r="90" spans="1:9" ht="20.399999999999999">
      <c r="A90" s="51" t="s">
        <v>187</v>
      </c>
      <c r="B90" s="717" t="s">
        <v>150</v>
      </c>
      <c r="C90" s="739"/>
      <c r="D90" s="740"/>
      <c r="E90" s="50" t="s">
        <v>165</v>
      </c>
      <c r="F90" s="50" t="s">
        <v>204</v>
      </c>
      <c r="G90" s="717" t="s">
        <v>186</v>
      </c>
      <c r="H90" s="739" t="s">
        <v>186</v>
      </c>
      <c r="I90" s="740" t="s">
        <v>186</v>
      </c>
    </row>
    <row r="91" spans="1:9" ht="28.8" customHeight="1">
      <c r="A91" s="51"/>
      <c r="B91" s="50" t="s">
        <v>231</v>
      </c>
      <c r="C91" s="50" t="s">
        <v>525</v>
      </c>
      <c r="D91" s="50" t="s">
        <v>743</v>
      </c>
      <c r="E91" s="50" t="s">
        <v>743</v>
      </c>
      <c r="F91" s="50" t="s">
        <v>743</v>
      </c>
      <c r="G91" s="50" t="s">
        <v>231</v>
      </c>
      <c r="H91" s="50" t="s">
        <v>525</v>
      </c>
      <c r="I91" s="50" t="s">
        <v>743</v>
      </c>
    </row>
    <row r="92" spans="1:9" ht="19.8" customHeight="1">
      <c r="A92" s="49" t="s">
        <v>749</v>
      </c>
      <c r="B92" s="24">
        <v>32000</v>
      </c>
      <c r="C92" s="474">
        <v>0</v>
      </c>
      <c r="D92" s="24">
        <v>648</v>
      </c>
      <c r="E92" s="9"/>
      <c r="F92" s="9"/>
      <c r="G92" s="24">
        <f>+B92+E92+F92</f>
        <v>32000</v>
      </c>
      <c r="H92" s="24">
        <f>+C92+E92+F92</f>
        <v>0</v>
      </c>
      <c r="I92" s="24">
        <f>+D92+E92+F92</f>
        <v>648</v>
      </c>
    </row>
    <row r="93" spans="1:9" ht="21">
      <c r="A93" s="49" t="s">
        <v>591</v>
      </c>
      <c r="B93" s="24">
        <v>0</v>
      </c>
      <c r="C93" s="474">
        <v>900</v>
      </c>
      <c r="D93" s="24">
        <v>0</v>
      </c>
      <c r="E93" s="275"/>
      <c r="F93" s="275"/>
      <c r="G93" s="24">
        <f>+B93+E93+F93</f>
        <v>0</v>
      </c>
      <c r="H93" s="24">
        <f>+C93+E93+F93</f>
        <v>900</v>
      </c>
      <c r="I93" s="24">
        <f>+D93+E93+F93</f>
        <v>0</v>
      </c>
    </row>
    <row r="94" spans="1:9">
      <c r="A94" s="23" t="s">
        <v>43</v>
      </c>
      <c r="B94" s="25">
        <f>SUM(B92:B93)</f>
        <v>32000</v>
      </c>
      <c r="C94" s="25">
        <f t="shared" ref="C94:I94" si="5">SUM(C92:C93)</f>
        <v>900</v>
      </c>
      <c r="D94" s="25">
        <f>SUM(D92:D93)</f>
        <v>648</v>
      </c>
      <c r="E94" s="25">
        <f t="shared" si="5"/>
        <v>0</v>
      </c>
      <c r="F94" s="25">
        <f t="shared" si="5"/>
        <v>0</v>
      </c>
      <c r="G94" s="25">
        <f t="shared" si="5"/>
        <v>32000</v>
      </c>
      <c r="H94" s="25">
        <f t="shared" si="5"/>
        <v>900</v>
      </c>
      <c r="I94" s="25">
        <f t="shared" si="5"/>
        <v>648</v>
      </c>
    </row>
  </sheetData>
  <mergeCells count="22">
    <mergeCell ref="G64:I64"/>
    <mergeCell ref="A63:I63"/>
    <mergeCell ref="A60:I60"/>
    <mergeCell ref="A61:I61"/>
    <mergeCell ref="B90:D90"/>
    <mergeCell ref="G90:I90"/>
    <mergeCell ref="A89:I89"/>
    <mergeCell ref="A86:I86"/>
    <mergeCell ref="A87:I87"/>
    <mergeCell ref="B64:D64"/>
    <mergeCell ref="B6:D6"/>
    <mergeCell ref="A2:D2"/>
    <mergeCell ref="A22:D22"/>
    <mergeCell ref="B40:D40"/>
    <mergeCell ref="A39:D39"/>
    <mergeCell ref="A35:D35"/>
    <mergeCell ref="A37:D37"/>
    <mergeCell ref="B55:D55"/>
    <mergeCell ref="A54:D54"/>
    <mergeCell ref="A51:D51"/>
    <mergeCell ref="A52:D52"/>
    <mergeCell ref="B26:D26"/>
  </mergeCells>
  <pageMargins left="0.23622047244094491" right="0.23622047244094491" top="0.31496062992125984" bottom="0.15748031496062992" header="0.15748031496062992" footer="0.15748031496062992"/>
  <pageSetup paperSize="9" scale="80" orientation="landscape" r:id="rId1"/>
  <headerFooter alignWithMargins="0">
    <oddHeader>&amp;LVeresegyház Város Önkormányzat</oddHeader>
    <oddFooter>&amp;LVeresegyház, 2013. Szeptember 03.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AD167"/>
  <sheetViews>
    <sheetView topLeftCell="A124" zoomScaleSheetLayoutView="115" workbookViewId="0">
      <selection activeCell="AE127" sqref="AE127"/>
    </sheetView>
  </sheetViews>
  <sheetFormatPr defaultColWidth="9.109375" defaultRowHeight="12" outlineLevelCol="1"/>
  <cols>
    <col min="1" max="1" width="10.44140625" style="519" customWidth="1"/>
    <col min="2" max="2" width="42.109375" style="522" customWidth="1"/>
    <col min="3" max="3" width="6.33203125" style="519" hidden="1" customWidth="1" outlineLevel="1"/>
    <col min="4" max="4" width="5.6640625" style="519" hidden="1" customWidth="1" outlineLevel="1"/>
    <col min="5" max="5" width="10.88671875" style="519" customWidth="1" collapsed="1"/>
    <col min="6" max="6" width="6.5546875" style="519" hidden="1" customWidth="1" outlineLevel="1"/>
    <col min="7" max="7" width="5.6640625" style="519" hidden="1" customWidth="1" outlineLevel="1"/>
    <col min="8" max="8" width="10" style="519" hidden="1" customWidth="1" outlineLevel="1"/>
    <col min="9" max="9" width="8.6640625" style="519" hidden="1" customWidth="1" outlineLevel="1" collapsed="1"/>
    <col min="10" max="10" width="5.6640625" style="519" hidden="1" customWidth="1" outlineLevel="1"/>
    <col min="11" max="11" width="11.33203125" style="519" customWidth="1" collapsed="1"/>
    <col min="12" max="12" width="6.88671875" style="519" hidden="1" customWidth="1" outlineLevel="1"/>
    <col min="13" max="13" width="6.44140625" style="519" hidden="1" customWidth="1" outlineLevel="1"/>
    <col min="14" max="14" width="11.6640625" style="519" customWidth="1" collapsed="1"/>
    <col min="15" max="17" width="9.44140625" style="519" hidden="1" customWidth="1" outlineLevel="1"/>
    <col min="18" max="18" width="9.44140625" style="519" hidden="1" customWidth="1" outlineLevel="1" collapsed="1"/>
    <col min="19" max="19" width="9.44140625" style="519" hidden="1" customWidth="1" outlineLevel="1"/>
    <col min="20" max="20" width="9.44140625" style="519" customWidth="1" collapsed="1"/>
    <col min="21" max="21" width="10.109375" style="523" customWidth="1"/>
    <col min="22" max="22" width="11.5546875" style="523" customWidth="1"/>
    <col min="23" max="24" width="10.88671875" style="523" customWidth="1"/>
    <col min="25" max="25" width="13.44140625" style="524" customWidth="1"/>
    <col min="26" max="27" width="13.44140625" style="524" hidden="1" customWidth="1" outlineLevel="1"/>
    <col min="28" max="28" width="13.6640625" style="519" customWidth="1" collapsed="1"/>
    <col min="29" max="29" width="12.5546875" style="519" bestFit="1" customWidth="1"/>
    <col min="30" max="16384" width="9.109375" style="519"/>
  </cols>
  <sheetData>
    <row r="1" spans="1:30" ht="19.95" customHeight="1">
      <c r="A1" s="834" t="s">
        <v>508</v>
      </c>
      <c r="B1" s="834"/>
      <c r="C1" s="834"/>
      <c r="D1" s="834"/>
      <c r="E1" s="834"/>
      <c r="F1" s="834"/>
      <c r="G1" s="834"/>
      <c r="H1" s="834"/>
      <c r="I1" s="834"/>
      <c r="J1" s="834"/>
      <c r="K1" s="834"/>
      <c r="L1" s="834"/>
      <c r="M1" s="834"/>
      <c r="N1" s="834"/>
      <c r="O1" s="834"/>
      <c r="P1" s="834"/>
      <c r="Q1" s="834"/>
      <c r="R1" s="834"/>
      <c r="S1" s="834"/>
      <c r="T1" s="834"/>
      <c r="U1" s="834"/>
      <c r="V1" s="834"/>
      <c r="W1" s="834"/>
      <c r="X1" s="834"/>
      <c r="Y1" s="834"/>
      <c r="Z1" s="518"/>
      <c r="AA1" s="518"/>
      <c r="AC1" s="520" t="s">
        <v>735</v>
      </c>
    </row>
    <row r="2" spans="1:30" ht="19.95" customHeight="1">
      <c r="A2" s="835">
        <v>41455</v>
      </c>
      <c r="B2" s="835"/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5"/>
      <c r="S2" s="835"/>
      <c r="T2" s="835"/>
      <c r="U2" s="835"/>
      <c r="V2" s="835"/>
      <c r="W2" s="835"/>
      <c r="X2" s="835"/>
      <c r="Y2" s="835"/>
      <c r="Z2" s="521"/>
      <c r="AA2" s="521"/>
    </row>
    <row r="3" spans="1:30" ht="19.2" customHeight="1" thickBot="1">
      <c r="AC3" s="525" t="s">
        <v>0</v>
      </c>
    </row>
    <row r="4" spans="1:30" ht="36" customHeight="1">
      <c r="A4" s="836" t="s">
        <v>232</v>
      </c>
      <c r="B4" s="839" t="s">
        <v>598</v>
      </c>
      <c r="C4" s="842" t="s">
        <v>231</v>
      </c>
      <c r="D4" s="842"/>
      <c r="E4" s="842"/>
      <c r="F4" s="843" t="s">
        <v>599</v>
      </c>
      <c r="G4" s="843"/>
      <c r="H4" s="843"/>
      <c r="I4" s="843" t="s">
        <v>525</v>
      </c>
      <c r="J4" s="843"/>
      <c r="K4" s="843"/>
      <c r="L4" s="842" t="s">
        <v>231</v>
      </c>
      <c r="M4" s="842"/>
      <c r="N4" s="842"/>
      <c r="O4" s="843" t="s">
        <v>524</v>
      </c>
      <c r="P4" s="843"/>
      <c r="Q4" s="843"/>
      <c r="R4" s="843" t="s">
        <v>525</v>
      </c>
      <c r="S4" s="843"/>
      <c r="T4" s="843"/>
      <c r="U4" s="826" t="s">
        <v>600</v>
      </c>
      <c r="V4" s="826" t="s">
        <v>601</v>
      </c>
      <c r="W4" s="826" t="s">
        <v>602</v>
      </c>
      <c r="X4" s="826" t="s">
        <v>603</v>
      </c>
      <c r="Y4" s="829" t="s">
        <v>604</v>
      </c>
      <c r="Z4" s="832" t="s">
        <v>758</v>
      </c>
      <c r="AA4" s="815" t="s">
        <v>758</v>
      </c>
      <c r="AB4" s="817" t="s">
        <v>758</v>
      </c>
      <c r="AC4" s="820" t="s">
        <v>758</v>
      </c>
    </row>
    <row r="5" spans="1:30" ht="41.25" customHeight="1">
      <c r="A5" s="837"/>
      <c r="B5" s="840"/>
      <c r="C5" s="823" t="s">
        <v>229</v>
      </c>
      <c r="D5" s="824"/>
      <c r="E5" s="825"/>
      <c r="F5" s="823" t="s">
        <v>229</v>
      </c>
      <c r="G5" s="824"/>
      <c r="H5" s="825"/>
      <c r="I5" s="823" t="s">
        <v>229</v>
      </c>
      <c r="J5" s="824"/>
      <c r="K5" s="825"/>
      <c r="L5" s="823" t="s">
        <v>230</v>
      </c>
      <c r="M5" s="824"/>
      <c r="N5" s="825"/>
      <c r="O5" s="823" t="s">
        <v>230</v>
      </c>
      <c r="P5" s="824"/>
      <c r="Q5" s="825"/>
      <c r="R5" s="823" t="s">
        <v>230</v>
      </c>
      <c r="S5" s="824"/>
      <c r="T5" s="825"/>
      <c r="U5" s="827"/>
      <c r="V5" s="827"/>
      <c r="W5" s="827"/>
      <c r="X5" s="827"/>
      <c r="Y5" s="830"/>
      <c r="Z5" s="833"/>
      <c r="AA5" s="816"/>
      <c r="AB5" s="818"/>
      <c r="AC5" s="821"/>
    </row>
    <row r="6" spans="1:30" ht="48.75" customHeight="1" thickBot="1">
      <c r="A6" s="838"/>
      <c r="B6" s="841"/>
      <c r="C6" s="526" t="s">
        <v>228</v>
      </c>
      <c r="D6" s="526" t="s">
        <v>227</v>
      </c>
      <c r="E6" s="526" t="s">
        <v>226</v>
      </c>
      <c r="F6" s="526" t="s">
        <v>228</v>
      </c>
      <c r="G6" s="526" t="s">
        <v>227</v>
      </c>
      <c r="H6" s="526" t="s">
        <v>226</v>
      </c>
      <c r="I6" s="526" t="s">
        <v>228</v>
      </c>
      <c r="J6" s="526" t="s">
        <v>227</v>
      </c>
      <c r="K6" s="526" t="s">
        <v>226</v>
      </c>
      <c r="L6" s="526" t="s">
        <v>228</v>
      </c>
      <c r="M6" s="526" t="s">
        <v>227</v>
      </c>
      <c r="N6" s="526" t="s">
        <v>226</v>
      </c>
      <c r="O6" s="526" t="s">
        <v>228</v>
      </c>
      <c r="P6" s="526" t="s">
        <v>227</v>
      </c>
      <c r="Q6" s="526" t="s">
        <v>226</v>
      </c>
      <c r="R6" s="526" t="s">
        <v>228</v>
      </c>
      <c r="S6" s="526" t="s">
        <v>227</v>
      </c>
      <c r="T6" s="526" t="s">
        <v>226</v>
      </c>
      <c r="U6" s="828"/>
      <c r="V6" s="828"/>
      <c r="W6" s="828"/>
      <c r="X6" s="828"/>
      <c r="Y6" s="831"/>
      <c r="Z6" s="833"/>
      <c r="AA6" s="816"/>
      <c r="AB6" s="819"/>
      <c r="AC6" s="822"/>
    </row>
    <row r="7" spans="1:30" ht="21" customHeight="1">
      <c r="A7" s="792" t="s">
        <v>273</v>
      </c>
      <c r="B7" s="527" t="s">
        <v>324</v>
      </c>
      <c r="C7" s="528"/>
      <c r="D7" s="528"/>
      <c r="E7" s="528"/>
      <c r="F7" s="528"/>
      <c r="G7" s="528"/>
      <c r="H7" s="528"/>
      <c r="I7" s="528"/>
      <c r="J7" s="528"/>
      <c r="K7" s="528"/>
      <c r="L7" s="529">
        <v>4160</v>
      </c>
      <c r="M7" s="528">
        <v>1123.2</v>
      </c>
      <c r="N7" s="528">
        <v>5283.2</v>
      </c>
      <c r="O7" s="529">
        <f>R7-L7</f>
        <v>0</v>
      </c>
      <c r="P7" s="529">
        <f t="shared" ref="P7:Q12" si="0">S7-M7</f>
        <v>0</v>
      </c>
      <c r="Q7" s="529">
        <f t="shared" si="0"/>
        <v>-0.1999999999998181</v>
      </c>
      <c r="R7" s="529">
        <f>SUM(L7)</f>
        <v>4160</v>
      </c>
      <c r="S7" s="529">
        <f>SUM(M7)</f>
        <v>1123.2</v>
      </c>
      <c r="T7" s="529">
        <v>5283</v>
      </c>
      <c r="U7" s="810">
        <f>SUM(E7:E11)</f>
        <v>0</v>
      </c>
      <c r="V7" s="810">
        <f>SUM(K7:K11)</f>
        <v>0</v>
      </c>
      <c r="W7" s="810">
        <f>SUM(N7:N11)</f>
        <v>5283.2</v>
      </c>
      <c r="X7" s="810">
        <f>SUM(T7:T11)</f>
        <v>34754</v>
      </c>
      <c r="Y7" s="812">
        <f>SUM(X7,V7)</f>
        <v>34754</v>
      </c>
      <c r="Z7" s="530">
        <v>4999200</v>
      </c>
      <c r="AA7" s="798">
        <f>SUM(Z7:Z11)</f>
        <v>14105699</v>
      </c>
      <c r="AB7" s="692">
        <v>4999</v>
      </c>
      <c r="AC7" s="789">
        <v>14106</v>
      </c>
    </row>
    <row r="8" spans="1:30" ht="24">
      <c r="A8" s="793"/>
      <c r="B8" s="531" t="s">
        <v>605</v>
      </c>
      <c r="C8" s="528"/>
      <c r="D8" s="528"/>
      <c r="E8" s="528"/>
      <c r="F8" s="528"/>
      <c r="G8" s="528"/>
      <c r="H8" s="528"/>
      <c r="I8" s="528"/>
      <c r="J8" s="528"/>
      <c r="K8" s="528"/>
      <c r="L8" s="528"/>
      <c r="M8" s="528"/>
      <c r="N8" s="528"/>
      <c r="O8" s="529">
        <f t="shared" ref="O8:O12" si="1">R8-L8</f>
        <v>7612</v>
      </c>
      <c r="P8" s="529">
        <f t="shared" si="0"/>
        <v>2055</v>
      </c>
      <c r="Q8" s="529">
        <f t="shared" si="0"/>
        <v>9667</v>
      </c>
      <c r="R8" s="528">
        <v>7612</v>
      </c>
      <c r="S8" s="528">
        <v>2055</v>
      </c>
      <c r="T8" s="528">
        <v>9667</v>
      </c>
      <c r="U8" s="811"/>
      <c r="V8" s="811"/>
      <c r="W8" s="811"/>
      <c r="X8" s="811"/>
      <c r="Y8" s="813"/>
      <c r="Z8" s="530">
        <v>7620000</v>
      </c>
      <c r="AA8" s="787"/>
      <c r="AB8" s="693">
        <v>7620</v>
      </c>
      <c r="AC8" s="790"/>
    </row>
    <row r="9" spans="1:30" ht="36.75" customHeight="1">
      <c r="A9" s="793"/>
      <c r="B9" s="532" t="s">
        <v>606</v>
      </c>
      <c r="C9" s="533"/>
      <c r="D9" s="533"/>
      <c r="E9" s="533"/>
      <c r="F9" s="533"/>
      <c r="G9" s="533"/>
      <c r="H9" s="533"/>
      <c r="I9" s="533"/>
      <c r="J9" s="533"/>
      <c r="K9" s="533"/>
      <c r="L9" s="534"/>
      <c r="M9" s="533"/>
      <c r="N9" s="533"/>
      <c r="O9" s="529">
        <f t="shared" si="1"/>
        <v>4200</v>
      </c>
      <c r="P9" s="529">
        <f t="shared" si="0"/>
        <v>1134</v>
      </c>
      <c r="Q9" s="529">
        <f t="shared" si="0"/>
        <v>5334</v>
      </c>
      <c r="R9" s="534">
        <v>4200</v>
      </c>
      <c r="S9" s="533">
        <v>1134</v>
      </c>
      <c r="T9" s="533">
        <v>5334</v>
      </c>
      <c r="U9" s="811"/>
      <c r="V9" s="811"/>
      <c r="W9" s="811"/>
      <c r="X9" s="811"/>
      <c r="Y9" s="813"/>
      <c r="Z9" s="530">
        <v>1486499</v>
      </c>
      <c r="AA9" s="787"/>
      <c r="AB9" s="693">
        <v>1487</v>
      </c>
      <c r="AC9" s="790"/>
      <c r="AD9" s="633"/>
    </row>
    <row r="10" spans="1:30" ht="24.75" customHeight="1">
      <c r="A10" s="793"/>
      <c r="B10" s="532" t="s">
        <v>607</v>
      </c>
      <c r="C10" s="535"/>
      <c r="D10" s="535"/>
      <c r="E10" s="535"/>
      <c r="F10" s="535"/>
      <c r="G10" s="535"/>
      <c r="H10" s="535"/>
      <c r="I10" s="535"/>
      <c r="J10" s="535"/>
      <c r="K10" s="535"/>
      <c r="L10" s="536"/>
      <c r="M10" s="535"/>
      <c r="N10" s="535"/>
      <c r="O10" s="529">
        <f t="shared" si="1"/>
        <v>9974</v>
      </c>
      <c r="P10" s="529">
        <f t="shared" si="0"/>
        <v>2693</v>
      </c>
      <c r="Q10" s="529">
        <f t="shared" si="0"/>
        <v>12667</v>
      </c>
      <c r="R10" s="536">
        <v>9974</v>
      </c>
      <c r="S10" s="535">
        <v>2693</v>
      </c>
      <c r="T10" s="535">
        <v>12667</v>
      </c>
      <c r="U10" s="811"/>
      <c r="V10" s="811"/>
      <c r="W10" s="811"/>
      <c r="X10" s="811"/>
      <c r="Y10" s="813"/>
      <c r="Z10" s="530">
        <v>0</v>
      </c>
      <c r="AA10" s="787"/>
      <c r="AB10" s="693">
        <v>0</v>
      </c>
      <c r="AC10" s="790"/>
    </row>
    <row r="11" spans="1:30" ht="28.2" thickBot="1">
      <c r="A11" s="793"/>
      <c r="B11" s="537" t="s">
        <v>608</v>
      </c>
      <c r="C11" s="538"/>
      <c r="D11" s="538"/>
      <c r="E11" s="538"/>
      <c r="F11" s="538"/>
      <c r="G11" s="538"/>
      <c r="H11" s="538"/>
      <c r="I11" s="538"/>
      <c r="J11" s="538"/>
      <c r="K11" s="538"/>
      <c r="L11" s="539"/>
      <c r="M11" s="538"/>
      <c r="N11" s="538"/>
      <c r="O11" s="539">
        <f t="shared" si="1"/>
        <v>1420</v>
      </c>
      <c r="P11" s="539">
        <f t="shared" si="0"/>
        <v>383</v>
      </c>
      <c r="Q11" s="539">
        <f t="shared" si="0"/>
        <v>1803</v>
      </c>
      <c r="R11" s="539">
        <v>1420</v>
      </c>
      <c r="S11" s="538">
        <v>383</v>
      </c>
      <c r="T11" s="538">
        <v>1803</v>
      </c>
      <c r="U11" s="811"/>
      <c r="V11" s="811"/>
      <c r="W11" s="811"/>
      <c r="X11" s="811"/>
      <c r="Y11" s="814"/>
      <c r="Z11" s="530">
        <v>0</v>
      </c>
      <c r="AA11" s="787"/>
      <c r="AB11" s="694">
        <v>0</v>
      </c>
      <c r="AC11" s="791"/>
    </row>
    <row r="12" spans="1:30" ht="24">
      <c r="A12" s="792" t="s">
        <v>272</v>
      </c>
      <c r="B12" s="527" t="s">
        <v>609</v>
      </c>
      <c r="C12" s="528"/>
      <c r="D12" s="528"/>
      <c r="E12" s="528"/>
      <c r="F12" s="528"/>
      <c r="G12" s="528"/>
      <c r="H12" s="528"/>
      <c r="I12" s="528"/>
      <c r="J12" s="528"/>
      <c r="K12" s="528"/>
      <c r="L12" s="528">
        <v>6610</v>
      </c>
      <c r="M12" s="528">
        <v>1785</v>
      </c>
      <c r="N12" s="528">
        <f>SUM(L12:M12)</f>
        <v>8395</v>
      </c>
      <c r="O12" s="528">
        <f t="shared" si="1"/>
        <v>180</v>
      </c>
      <c r="P12" s="528">
        <f t="shared" si="0"/>
        <v>49</v>
      </c>
      <c r="Q12" s="528">
        <f t="shared" si="0"/>
        <v>229</v>
      </c>
      <c r="R12" s="540">
        <v>6790</v>
      </c>
      <c r="S12" s="540">
        <v>1834</v>
      </c>
      <c r="T12" s="540">
        <v>8624</v>
      </c>
      <c r="U12" s="782">
        <f>SUM(E12:E67)</f>
        <v>0</v>
      </c>
      <c r="V12" s="782">
        <f>SUM(K12:K67)</f>
        <v>0</v>
      </c>
      <c r="W12" s="782">
        <f>SUM(N12:N67)</f>
        <v>439280</v>
      </c>
      <c r="X12" s="782">
        <f>SUM(T12:T67)</f>
        <v>538157</v>
      </c>
      <c r="Y12" s="784">
        <f>SUM(X12,V67)</f>
        <v>538157</v>
      </c>
      <c r="Z12" s="541">
        <v>4142455</v>
      </c>
      <c r="AA12" s="798">
        <f>SUM(Z12:Z67)</f>
        <v>155387339</v>
      </c>
      <c r="AB12" s="692">
        <v>4142</v>
      </c>
      <c r="AC12" s="789">
        <v>155387</v>
      </c>
    </row>
    <row r="13" spans="1:30" ht="31.5" customHeight="1">
      <c r="A13" s="804"/>
      <c r="B13" s="542" t="s">
        <v>271</v>
      </c>
      <c r="C13" s="533"/>
      <c r="D13" s="533"/>
      <c r="E13" s="533"/>
      <c r="F13" s="533"/>
      <c r="G13" s="533"/>
      <c r="H13" s="533"/>
      <c r="I13" s="533"/>
      <c r="J13" s="533"/>
      <c r="K13" s="533"/>
      <c r="L13" s="533">
        <v>5290</v>
      </c>
      <c r="M13" s="533">
        <v>1428</v>
      </c>
      <c r="N13" s="533">
        <f t="shared" ref="N13:N26" si="2">SUM(L13:M13)</f>
        <v>6718</v>
      </c>
      <c r="O13" s="533"/>
      <c r="P13" s="533"/>
      <c r="Q13" s="533"/>
      <c r="R13" s="533">
        <v>5290</v>
      </c>
      <c r="S13" s="533">
        <v>1428</v>
      </c>
      <c r="T13" s="533">
        <f t="shared" ref="T13:T14" si="3">SUM(R13:S13)</f>
        <v>6718</v>
      </c>
      <c r="U13" s="806"/>
      <c r="V13" s="806"/>
      <c r="W13" s="806"/>
      <c r="X13" s="806"/>
      <c r="Y13" s="808"/>
      <c r="Z13" s="541">
        <v>6666581</v>
      </c>
      <c r="AA13" s="787"/>
      <c r="AB13" s="693">
        <v>6666</v>
      </c>
      <c r="AC13" s="790"/>
    </row>
    <row r="14" spans="1:30" ht="31.5" customHeight="1">
      <c r="A14" s="804"/>
      <c r="B14" s="542" t="s">
        <v>270</v>
      </c>
      <c r="C14" s="533"/>
      <c r="D14" s="533"/>
      <c r="E14" s="533"/>
      <c r="F14" s="533"/>
      <c r="G14" s="533"/>
      <c r="H14" s="533"/>
      <c r="I14" s="533"/>
      <c r="J14" s="533"/>
      <c r="K14" s="533"/>
      <c r="L14" s="533">
        <v>3915</v>
      </c>
      <c r="M14" s="533">
        <v>1057</v>
      </c>
      <c r="N14" s="533">
        <f t="shared" si="2"/>
        <v>4972</v>
      </c>
      <c r="O14" s="533"/>
      <c r="P14" s="533"/>
      <c r="Q14" s="533"/>
      <c r="R14" s="533">
        <v>3915</v>
      </c>
      <c r="S14" s="533">
        <v>1057</v>
      </c>
      <c r="T14" s="533">
        <f t="shared" si="3"/>
        <v>4972</v>
      </c>
      <c r="U14" s="806"/>
      <c r="V14" s="806"/>
      <c r="W14" s="806"/>
      <c r="X14" s="806"/>
      <c r="Y14" s="808"/>
      <c r="Z14" s="541">
        <v>4162828</v>
      </c>
      <c r="AA14" s="787"/>
      <c r="AB14" s="693">
        <v>4163</v>
      </c>
      <c r="AC14" s="790"/>
    </row>
    <row r="15" spans="1:30" ht="31.5" customHeight="1">
      <c r="A15" s="804"/>
      <c r="B15" s="542" t="s">
        <v>269</v>
      </c>
      <c r="C15" s="533"/>
      <c r="D15" s="533"/>
      <c r="E15" s="533"/>
      <c r="F15" s="533"/>
      <c r="G15" s="533"/>
      <c r="H15" s="533"/>
      <c r="I15" s="533"/>
      <c r="J15" s="533"/>
      <c r="K15" s="533"/>
      <c r="L15" s="533">
        <v>7989</v>
      </c>
      <c r="M15" s="533">
        <v>2157</v>
      </c>
      <c r="N15" s="533">
        <v>10145</v>
      </c>
      <c r="O15" s="533"/>
      <c r="P15" s="533"/>
      <c r="Q15" s="533"/>
      <c r="R15" s="533">
        <v>7989</v>
      </c>
      <c r="S15" s="533">
        <v>2157</v>
      </c>
      <c r="T15" s="533">
        <v>10145</v>
      </c>
      <c r="U15" s="806"/>
      <c r="V15" s="806"/>
      <c r="W15" s="806"/>
      <c r="X15" s="806"/>
      <c r="Y15" s="808"/>
      <c r="Z15" s="541">
        <v>10145571</v>
      </c>
      <c r="AA15" s="787"/>
      <c r="AB15" s="693">
        <v>10146</v>
      </c>
      <c r="AC15" s="790"/>
    </row>
    <row r="16" spans="1:30" ht="31.5" customHeight="1">
      <c r="A16" s="804"/>
      <c r="B16" s="542" t="s">
        <v>268</v>
      </c>
      <c r="C16" s="533"/>
      <c r="D16" s="533"/>
      <c r="E16" s="533"/>
      <c r="F16" s="533"/>
      <c r="G16" s="533"/>
      <c r="H16" s="533"/>
      <c r="I16" s="533"/>
      <c r="J16" s="533"/>
      <c r="K16" s="533"/>
      <c r="L16" s="533">
        <v>6979</v>
      </c>
      <c r="M16" s="533">
        <v>1885</v>
      </c>
      <c r="N16" s="533">
        <v>8864</v>
      </c>
      <c r="O16" s="533"/>
      <c r="P16" s="533"/>
      <c r="Q16" s="533"/>
      <c r="R16" s="533">
        <v>6979</v>
      </c>
      <c r="S16" s="533">
        <v>1885</v>
      </c>
      <c r="T16" s="533">
        <v>8864</v>
      </c>
      <c r="U16" s="806"/>
      <c r="V16" s="806"/>
      <c r="W16" s="806"/>
      <c r="X16" s="806"/>
      <c r="Y16" s="808"/>
      <c r="Z16" s="541">
        <v>8863710</v>
      </c>
      <c r="AA16" s="787"/>
      <c r="AB16" s="693">
        <v>8864</v>
      </c>
      <c r="AC16" s="790"/>
    </row>
    <row r="17" spans="1:29" ht="31.5" customHeight="1">
      <c r="A17" s="804"/>
      <c r="B17" s="542" t="s">
        <v>267</v>
      </c>
      <c r="C17" s="533"/>
      <c r="D17" s="533"/>
      <c r="E17" s="533"/>
      <c r="F17" s="533"/>
      <c r="G17" s="533"/>
      <c r="H17" s="533"/>
      <c r="I17" s="533"/>
      <c r="J17" s="533"/>
      <c r="K17" s="533"/>
      <c r="L17" s="533">
        <v>7731</v>
      </c>
      <c r="M17" s="533">
        <v>2087</v>
      </c>
      <c r="N17" s="533">
        <f t="shared" si="2"/>
        <v>9818</v>
      </c>
      <c r="O17" s="533"/>
      <c r="P17" s="533"/>
      <c r="Q17" s="533"/>
      <c r="R17" s="533">
        <v>7731</v>
      </c>
      <c r="S17" s="533">
        <v>2087</v>
      </c>
      <c r="T17" s="533">
        <f t="shared" ref="T17:T20" si="4">SUM(R17:S17)</f>
        <v>9818</v>
      </c>
      <c r="U17" s="806"/>
      <c r="V17" s="806"/>
      <c r="W17" s="806"/>
      <c r="X17" s="806"/>
      <c r="Y17" s="808"/>
      <c r="Z17" s="541">
        <v>9817935</v>
      </c>
      <c r="AA17" s="787"/>
      <c r="AB17" s="693">
        <v>9818</v>
      </c>
      <c r="AC17" s="790"/>
    </row>
    <row r="18" spans="1:29" ht="31.5" customHeight="1">
      <c r="A18" s="804"/>
      <c r="B18" s="542" t="s">
        <v>266</v>
      </c>
      <c r="C18" s="533"/>
      <c r="D18" s="533"/>
      <c r="E18" s="533"/>
      <c r="F18" s="533"/>
      <c r="G18" s="533"/>
      <c r="H18" s="533"/>
      <c r="I18" s="533"/>
      <c r="J18" s="533"/>
      <c r="K18" s="533"/>
      <c r="L18" s="533">
        <v>394</v>
      </c>
      <c r="M18" s="533">
        <v>106</v>
      </c>
      <c r="N18" s="533">
        <f t="shared" si="2"/>
        <v>500</v>
      </c>
      <c r="O18" s="533"/>
      <c r="P18" s="533"/>
      <c r="Q18" s="533"/>
      <c r="R18" s="533">
        <v>394</v>
      </c>
      <c r="S18" s="533">
        <v>106</v>
      </c>
      <c r="T18" s="533">
        <f t="shared" si="4"/>
        <v>500</v>
      </c>
      <c r="U18" s="806"/>
      <c r="V18" s="806"/>
      <c r="W18" s="806"/>
      <c r="X18" s="806"/>
      <c r="Y18" s="808"/>
      <c r="Z18" s="541">
        <v>394337</v>
      </c>
      <c r="AA18" s="787"/>
      <c r="AB18" s="693">
        <v>394</v>
      </c>
      <c r="AC18" s="790"/>
    </row>
    <row r="19" spans="1:29" ht="31.5" customHeight="1">
      <c r="A19" s="804"/>
      <c r="B19" s="542" t="s">
        <v>759</v>
      </c>
      <c r="C19" s="533"/>
      <c r="D19" s="533"/>
      <c r="E19" s="533"/>
      <c r="F19" s="533"/>
      <c r="G19" s="533"/>
      <c r="H19" s="533"/>
      <c r="I19" s="533"/>
      <c r="J19" s="533"/>
      <c r="K19" s="533"/>
      <c r="L19" s="533">
        <v>905</v>
      </c>
      <c r="M19" s="533">
        <v>245</v>
      </c>
      <c r="N19" s="533">
        <f t="shared" si="2"/>
        <v>1150</v>
      </c>
      <c r="O19" s="533"/>
      <c r="P19" s="533"/>
      <c r="Q19" s="533"/>
      <c r="R19" s="533">
        <v>905</v>
      </c>
      <c r="S19" s="533">
        <v>245</v>
      </c>
      <c r="T19" s="533">
        <f t="shared" si="4"/>
        <v>1150</v>
      </c>
      <c r="U19" s="806"/>
      <c r="V19" s="806"/>
      <c r="W19" s="806"/>
      <c r="X19" s="806"/>
      <c r="Y19" s="808"/>
      <c r="Z19" s="541">
        <v>1149375</v>
      </c>
      <c r="AA19" s="787"/>
      <c r="AB19" s="693">
        <v>1149</v>
      </c>
      <c r="AC19" s="790"/>
    </row>
    <row r="20" spans="1:29" ht="31.5" customHeight="1">
      <c r="A20" s="804"/>
      <c r="B20" s="542" t="s">
        <v>265</v>
      </c>
      <c r="C20" s="533"/>
      <c r="D20" s="533"/>
      <c r="E20" s="533"/>
      <c r="F20" s="533"/>
      <c r="G20" s="533"/>
      <c r="H20" s="533"/>
      <c r="I20" s="533"/>
      <c r="J20" s="533"/>
      <c r="K20" s="533"/>
      <c r="L20" s="533">
        <v>742</v>
      </c>
      <c r="M20" s="533">
        <v>200</v>
      </c>
      <c r="N20" s="533">
        <f t="shared" si="2"/>
        <v>942</v>
      </c>
      <c r="O20" s="533"/>
      <c r="P20" s="533"/>
      <c r="Q20" s="533"/>
      <c r="R20" s="533">
        <v>742</v>
      </c>
      <c r="S20" s="533">
        <v>200</v>
      </c>
      <c r="T20" s="533">
        <f t="shared" si="4"/>
        <v>942</v>
      </c>
      <c r="U20" s="806"/>
      <c r="V20" s="806"/>
      <c r="W20" s="806"/>
      <c r="X20" s="806"/>
      <c r="Y20" s="808"/>
      <c r="Z20" s="541">
        <v>942035</v>
      </c>
      <c r="AA20" s="787"/>
      <c r="AB20" s="693">
        <v>942</v>
      </c>
      <c r="AC20" s="790"/>
    </row>
    <row r="21" spans="1:29" ht="31.5" customHeight="1">
      <c r="A21" s="804"/>
      <c r="B21" s="542" t="s">
        <v>264</v>
      </c>
      <c r="C21" s="533"/>
      <c r="D21" s="533"/>
      <c r="E21" s="533"/>
      <c r="F21" s="533"/>
      <c r="G21" s="533"/>
      <c r="H21" s="533"/>
      <c r="I21" s="533"/>
      <c r="J21" s="533"/>
      <c r="K21" s="533"/>
      <c r="L21" s="533">
        <v>6959</v>
      </c>
      <c r="M21" s="533">
        <v>1879</v>
      </c>
      <c r="N21" s="533">
        <f t="shared" si="2"/>
        <v>8838</v>
      </c>
      <c r="O21" s="528">
        <f t="shared" ref="O21:Q36" si="5">R21-L21</f>
        <v>-2319</v>
      </c>
      <c r="P21" s="528">
        <f t="shared" si="5"/>
        <v>-626</v>
      </c>
      <c r="Q21" s="528">
        <f t="shared" si="5"/>
        <v>-2945</v>
      </c>
      <c r="R21" s="528">
        <v>4640</v>
      </c>
      <c r="S21" s="528">
        <v>1253</v>
      </c>
      <c r="T21" s="528">
        <v>5893</v>
      </c>
      <c r="U21" s="806"/>
      <c r="V21" s="806"/>
      <c r="W21" s="806"/>
      <c r="X21" s="806"/>
      <c r="Y21" s="808"/>
      <c r="Z21" s="541">
        <v>5892723</v>
      </c>
      <c r="AA21" s="787"/>
      <c r="AB21" s="693">
        <v>5893</v>
      </c>
      <c r="AC21" s="790"/>
    </row>
    <row r="22" spans="1:29" ht="31.5" customHeight="1">
      <c r="A22" s="804"/>
      <c r="B22" s="542" t="s">
        <v>263</v>
      </c>
      <c r="C22" s="533"/>
      <c r="D22" s="533"/>
      <c r="E22" s="533"/>
      <c r="F22" s="533"/>
      <c r="G22" s="533"/>
      <c r="H22" s="533"/>
      <c r="I22" s="533"/>
      <c r="J22" s="533"/>
      <c r="K22" s="533"/>
      <c r="L22" s="533">
        <v>7131</v>
      </c>
      <c r="M22" s="533">
        <v>1925</v>
      </c>
      <c r="N22" s="533">
        <f t="shared" si="2"/>
        <v>9056</v>
      </c>
      <c r="O22" s="528">
        <f t="shared" si="5"/>
        <v>7</v>
      </c>
      <c r="P22" s="528">
        <f t="shared" si="5"/>
        <v>2</v>
      </c>
      <c r="Q22" s="528">
        <f t="shared" si="5"/>
        <v>9</v>
      </c>
      <c r="R22" s="533">
        <v>7138</v>
      </c>
      <c r="S22" s="533">
        <v>1927</v>
      </c>
      <c r="T22" s="533">
        <v>9065</v>
      </c>
      <c r="U22" s="806"/>
      <c r="V22" s="806"/>
      <c r="W22" s="806"/>
      <c r="X22" s="806"/>
      <c r="Y22" s="808"/>
      <c r="Z22" s="541">
        <v>9064727</v>
      </c>
      <c r="AA22" s="787"/>
      <c r="AB22" s="693">
        <v>9065</v>
      </c>
      <c r="AC22" s="790"/>
    </row>
    <row r="23" spans="1:29" ht="28.5" customHeight="1">
      <c r="A23" s="804"/>
      <c r="B23" s="543" t="s">
        <v>610</v>
      </c>
      <c r="C23" s="535"/>
      <c r="D23" s="535"/>
      <c r="E23" s="535"/>
      <c r="F23" s="533"/>
      <c r="G23" s="533"/>
      <c r="H23" s="533"/>
      <c r="I23" s="533"/>
      <c r="J23" s="533"/>
      <c r="K23" s="533"/>
      <c r="L23" s="533">
        <v>16000</v>
      </c>
      <c r="M23" s="533">
        <v>4320</v>
      </c>
      <c r="N23" s="533">
        <f t="shared" si="2"/>
        <v>20320</v>
      </c>
      <c r="O23" s="528">
        <f t="shared" si="5"/>
        <v>5194</v>
      </c>
      <c r="P23" s="528">
        <f t="shared" si="5"/>
        <v>1402</v>
      </c>
      <c r="Q23" s="528">
        <f t="shared" si="5"/>
        <v>6596</v>
      </c>
      <c r="R23" s="533">
        <v>21194</v>
      </c>
      <c r="S23" s="533">
        <v>5722</v>
      </c>
      <c r="T23" s="533">
        <v>26916</v>
      </c>
      <c r="U23" s="806"/>
      <c r="V23" s="806"/>
      <c r="W23" s="806"/>
      <c r="X23" s="806"/>
      <c r="Y23" s="808"/>
      <c r="Z23" s="541">
        <v>24842992</v>
      </c>
      <c r="AA23" s="787"/>
      <c r="AB23" s="693">
        <v>24843</v>
      </c>
      <c r="AC23" s="790"/>
    </row>
    <row r="24" spans="1:29" ht="31.5" customHeight="1">
      <c r="A24" s="804"/>
      <c r="B24" s="542" t="s">
        <v>262</v>
      </c>
      <c r="C24" s="533"/>
      <c r="D24" s="533"/>
      <c r="E24" s="533"/>
      <c r="F24" s="533"/>
      <c r="G24" s="533"/>
      <c r="H24" s="533"/>
      <c r="I24" s="533"/>
      <c r="J24" s="533"/>
      <c r="K24" s="533"/>
      <c r="L24" s="533">
        <v>11000</v>
      </c>
      <c r="M24" s="533">
        <v>2970</v>
      </c>
      <c r="N24" s="533">
        <f t="shared" si="2"/>
        <v>13970</v>
      </c>
      <c r="O24" s="528">
        <f t="shared" si="5"/>
        <v>0</v>
      </c>
      <c r="P24" s="528">
        <f t="shared" si="5"/>
        <v>0</v>
      </c>
      <c r="Q24" s="528">
        <f t="shared" si="5"/>
        <v>0</v>
      </c>
      <c r="R24" s="533">
        <v>11000</v>
      </c>
      <c r="S24" s="533">
        <v>2970</v>
      </c>
      <c r="T24" s="533">
        <v>13970</v>
      </c>
      <c r="U24" s="806"/>
      <c r="V24" s="806"/>
      <c r="W24" s="806"/>
      <c r="X24" s="806"/>
      <c r="Y24" s="808"/>
      <c r="Z24" s="541">
        <v>0</v>
      </c>
      <c r="AA24" s="787"/>
      <c r="AB24" s="693">
        <v>0</v>
      </c>
      <c r="AC24" s="790"/>
    </row>
    <row r="25" spans="1:29" ht="31.5" customHeight="1">
      <c r="A25" s="804"/>
      <c r="B25" s="542" t="s">
        <v>261</v>
      </c>
      <c r="C25" s="533"/>
      <c r="D25" s="533"/>
      <c r="E25" s="533"/>
      <c r="F25" s="533"/>
      <c r="G25" s="533"/>
      <c r="H25" s="533"/>
      <c r="I25" s="533"/>
      <c r="J25" s="533"/>
      <c r="K25" s="533"/>
      <c r="L25" s="533">
        <v>20000</v>
      </c>
      <c r="M25" s="533">
        <v>5400</v>
      </c>
      <c r="N25" s="533">
        <f t="shared" si="2"/>
        <v>25400</v>
      </c>
      <c r="O25" s="528">
        <f t="shared" si="5"/>
        <v>3997</v>
      </c>
      <c r="P25" s="528">
        <f t="shared" si="5"/>
        <v>1079</v>
      </c>
      <c r="Q25" s="528">
        <f t="shared" si="5"/>
        <v>5076</v>
      </c>
      <c r="R25" s="533">
        <v>23997</v>
      </c>
      <c r="S25" s="533">
        <v>6479</v>
      </c>
      <c r="T25" s="533">
        <v>30476</v>
      </c>
      <c r="U25" s="806"/>
      <c r="V25" s="806"/>
      <c r="W25" s="806"/>
      <c r="X25" s="806"/>
      <c r="Y25" s="808"/>
      <c r="Z25" s="541">
        <v>0</v>
      </c>
      <c r="AA25" s="787"/>
      <c r="AB25" s="693">
        <v>0</v>
      </c>
      <c r="AC25" s="790"/>
    </row>
    <row r="26" spans="1:29" ht="31.5" customHeight="1">
      <c r="A26" s="804"/>
      <c r="B26" s="542" t="s">
        <v>260</v>
      </c>
      <c r="C26" s="533"/>
      <c r="D26" s="533"/>
      <c r="E26" s="533"/>
      <c r="F26" s="533"/>
      <c r="G26" s="533"/>
      <c r="H26" s="533"/>
      <c r="I26" s="533"/>
      <c r="J26" s="533"/>
      <c r="K26" s="533"/>
      <c r="L26" s="533">
        <v>157480</v>
      </c>
      <c r="M26" s="533">
        <v>42520</v>
      </c>
      <c r="N26" s="533">
        <f t="shared" si="2"/>
        <v>200000</v>
      </c>
      <c r="O26" s="528">
        <f t="shared" si="5"/>
        <v>0</v>
      </c>
      <c r="P26" s="528">
        <f t="shared" si="5"/>
        <v>0</v>
      </c>
      <c r="Q26" s="528">
        <f t="shared" si="5"/>
        <v>0</v>
      </c>
      <c r="R26" s="533">
        <v>157480</v>
      </c>
      <c r="S26" s="533">
        <v>42520</v>
      </c>
      <c r="T26" s="533">
        <v>200000</v>
      </c>
      <c r="U26" s="806"/>
      <c r="V26" s="806"/>
      <c r="W26" s="806"/>
      <c r="X26" s="806"/>
      <c r="Y26" s="808"/>
      <c r="Z26" s="541">
        <v>293370</v>
      </c>
      <c r="AA26" s="787"/>
      <c r="AB26" s="693">
        <v>293</v>
      </c>
      <c r="AC26" s="790"/>
    </row>
    <row r="27" spans="1:29" ht="31.5" customHeight="1">
      <c r="A27" s="804"/>
      <c r="B27" s="532" t="s">
        <v>611</v>
      </c>
      <c r="C27" s="535"/>
      <c r="D27" s="535"/>
      <c r="E27" s="535"/>
      <c r="F27" s="535"/>
      <c r="G27" s="535"/>
      <c r="H27" s="535"/>
      <c r="I27" s="535"/>
      <c r="J27" s="535"/>
      <c r="K27" s="535"/>
      <c r="L27" s="533">
        <v>7826</v>
      </c>
      <c r="M27" s="533">
        <v>2113</v>
      </c>
      <c r="N27" s="533">
        <v>9939</v>
      </c>
      <c r="O27" s="528">
        <f t="shared" si="5"/>
        <v>0</v>
      </c>
      <c r="P27" s="528">
        <f t="shared" si="5"/>
        <v>0</v>
      </c>
      <c r="Q27" s="528">
        <f t="shared" si="5"/>
        <v>0</v>
      </c>
      <c r="R27" s="533">
        <v>7826</v>
      </c>
      <c r="S27" s="533">
        <v>2113</v>
      </c>
      <c r="T27" s="533">
        <v>9939</v>
      </c>
      <c r="U27" s="806"/>
      <c r="V27" s="806"/>
      <c r="W27" s="806"/>
      <c r="X27" s="806"/>
      <c r="Y27" s="808"/>
      <c r="Z27" s="541">
        <v>8890000</v>
      </c>
      <c r="AA27" s="787"/>
      <c r="AB27" s="693">
        <v>8890</v>
      </c>
      <c r="AC27" s="790"/>
    </row>
    <row r="28" spans="1:29" ht="31.5" customHeight="1">
      <c r="A28" s="804"/>
      <c r="B28" s="532" t="s">
        <v>612</v>
      </c>
      <c r="C28" s="535"/>
      <c r="D28" s="535"/>
      <c r="E28" s="535"/>
      <c r="F28" s="535"/>
      <c r="G28" s="535"/>
      <c r="H28" s="535"/>
      <c r="I28" s="535"/>
      <c r="J28" s="535"/>
      <c r="K28" s="535"/>
      <c r="L28" s="533">
        <v>10245</v>
      </c>
      <c r="M28" s="533">
        <v>2766</v>
      </c>
      <c r="N28" s="533">
        <v>13011</v>
      </c>
      <c r="O28" s="528">
        <f t="shared" si="5"/>
        <v>0</v>
      </c>
      <c r="P28" s="528">
        <f t="shared" si="5"/>
        <v>0</v>
      </c>
      <c r="Q28" s="528">
        <f t="shared" si="5"/>
        <v>0</v>
      </c>
      <c r="R28" s="533">
        <v>10245</v>
      </c>
      <c r="S28" s="533">
        <v>2766</v>
      </c>
      <c r="T28" s="533">
        <v>13011</v>
      </c>
      <c r="U28" s="806"/>
      <c r="V28" s="806"/>
      <c r="W28" s="806"/>
      <c r="X28" s="806"/>
      <c r="Y28" s="808"/>
      <c r="Z28" s="541">
        <v>0</v>
      </c>
      <c r="AA28" s="787"/>
      <c r="AB28" s="693">
        <v>0</v>
      </c>
      <c r="AC28" s="790"/>
    </row>
    <row r="29" spans="1:29" ht="31.5" customHeight="1">
      <c r="A29" s="804"/>
      <c r="B29" s="532" t="s">
        <v>613</v>
      </c>
      <c r="C29" s="535"/>
      <c r="D29" s="535"/>
      <c r="E29" s="535"/>
      <c r="F29" s="535"/>
      <c r="G29" s="535"/>
      <c r="H29" s="535"/>
      <c r="I29" s="535"/>
      <c r="J29" s="535"/>
      <c r="K29" s="535"/>
      <c r="L29" s="533">
        <v>18071</v>
      </c>
      <c r="M29" s="533">
        <v>4879</v>
      </c>
      <c r="N29" s="533">
        <v>22950</v>
      </c>
      <c r="O29" s="528">
        <f t="shared" si="5"/>
        <v>0</v>
      </c>
      <c r="P29" s="528">
        <f t="shared" si="5"/>
        <v>0</v>
      </c>
      <c r="Q29" s="528">
        <f t="shared" si="5"/>
        <v>0</v>
      </c>
      <c r="R29" s="533">
        <v>18071</v>
      </c>
      <c r="S29" s="533">
        <v>4879</v>
      </c>
      <c r="T29" s="533">
        <v>22950</v>
      </c>
      <c r="U29" s="806"/>
      <c r="V29" s="806"/>
      <c r="W29" s="806"/>
      <c r="X29" s="806"/>
      <c r="Y29" s="808"/>
      <c r="Z29" s="541">
        <v>0</v>
      </c>
      <c r="AA29" s="787"/>
      <c r="AB29" s="693">
        <v>0</v>
      </c>
      <c r="AC29" s="790"/>
    </row>
    <row r="30" spans="1:29" ht="31.5" customHeight="1">
      <c r="A30" s="804"/>
      <c r="B30" s="532" t="s">
        <v>614</v>
      </c>
      <c r="C30" s="535"/>
      <c r="D30" s="535"/>
      <c r="E30" s="535"/>
      <c r="F30" s="535"/>
      <c r="G30" s="535"/>
      <c r="H30" s="535"/>
      <c r="I30" s="535"/>
      <c r="J30" s="535"/>
      <c r="K30" s="535"/>
      <c r="L30" s="533">
        <v>18071</v>
      </c>
      <c r="M30" s="533">
        <v>4879</v>
      </c>
      <c r="N30" s="533">
        <v>22950</v>
      </c>
      <c r="O30" s="528">
        <f t="shared" si="5"/>
        <v>0</v>
      </c>
      <c r="P30" s="528">
        <f t="shared" si="5"/>
        <v>0</v>
      </c>
      <c r="Q30" s="528">
        <f t="shared" si="5"/>
        <v>0</v>
      </c>
      <c r="R30" s="533">
        <v>18071</v>
      </c>
      <c r="S30" s="533">
        <v>4879</v>
      </c>
      <c r="T30" s="533">
        <v>22950</v>
      </c>
      <c r="U30" s="806"/>
      <c r="V30" s="806"/>
      <c r="W30" s="806"/>
      <c r="X30" s="806"/>
      <c r="Y30" s="808"/>
      <c r="Z30" s="541">
        <v>0</v>
      </c>
      <c r="AA30" s="787"/>
      <c r="AB30" s="693">
        <v>0</v>
      </c>
      <c r="AC30" s="790"/>
    </row>
    <row r="31" spans="1:29" ht="31.5" customHeight="1">
      <c r="A31" s="804"/>
      <c r="B31" s="532" t="s">
        <v>760</v>
      </c>
      <c r="C31" s="535"/>
      <c r="D31" s="535"/>
      <c r="E31" s="535"/>
      <c r="F31" s="535"/>
      <c r="G31" s="535"/>
      <c r="H31" s="535"/>
      <c r="I31" s="535"/>
      <c r="J31" s="535"/>
      <c r="K31" s="535"/>
      <c r="L31" s="533">
        <v>18071</v>
      </c>
      <c r="M31" s="533">
        <v>4879</v>
      </c>
      <c r="N31" s="533">
        <v>22950</v>
      </c>
      <c r="O31" s="528">
        <f t="shared" si="5"/>
        <v>-18071</v>
      </c>
      <c r="P31" s="528">
        <f t="shared" si="5"/>
        <v>-4879</v>
      </c>
      <c r="Q31" s="528">
        <f t="shared" si="5"/>
        <v>-22950</v>
      </c>
      <c r="R31" s="533">
        <v>0</v>
      </c>
      <c r="S31" s="533">
        <v>0</v>
      </c>
      <c r="T31" s="533">
        <v>0</v>
      </c>
      <c r="U31" s="806"/>
      <c r="V31" s="806"/>
      <c r="W31" s="806"/>
      <c r="X31" s="806"/>
      <c r="Y31" s="808"/>
      <c r="Z31" s="541">
        <v>0</v>
      </c>
      <c r="AA31" s="787"/>
      <c r="AB31" s="693">
        <v>0</v>
      </c>
      <c r="AC31" s="790"/>
    </row>
    <row r="32" spans="1:29" ht="31.5" customHeight="1">
      <c r="A32" s="804"/>
      <c r="B32" s="544" t="s">
        <v>615</v>
      </c>
      <c r="C32" s="533"/>
      <c r="D32" s="533"/>
      <c r="E32" s="533"/>
      <c r="F32" s="533"/>
      <c r="G32" s="533"/>
      <c r="H32" s="533"/>
      <c r="I32" s="533"/>
      <c r="J32" s="533"/>
      <c r="K32" s="533"/>
      <c r="L32" s="533"/>
      <c r="M32" s="533"/>
      <c r="N32" s="533"/>
      <c r="O32" s="528">
        <f t="shared" si="5"/>
        <v>2850</v>
      </c>
      <c r="P32" s="528">
        <f t="shared" si="5"/>
        <v>769</v>
      </c>
      <c r="Q32" s="528">
        <f t="shared" si="5"/>
        <v>3619</v>
      </c>
      <c r="R32" s="533">
        <v>2850</v>
      </c>
      <c r="S32" s="533">
        <v>769</v>
      </c>
      <c r="T32" s="533">
        <v>3619</v>
      </c>
      <c r="U32" s="806"/>
      <c r="V32" s="806"/>
      <c r="W32" s="806"/>
      <c r="X32" s="806"/>
      <c r="Y32" s="808"/>
      <c r="Z32" s="541">
        <v>3619595</v>
      </c>
      <c r="AA32" s="787"/>
      <c r="AB32" s="693">
        <v>3620</v>
      </c>
      <c r="AC32" s="790"/>
    </row>
    <row r="33" spans="1:30" ht="31.5" customHeight="1">
      <c r="A33" s="804"/>
      <c r="B33" s="544" t="s">
        <v>616</v>
      </c>
      <c r="C33" s="533"/>
      <c r="D33" s="533"/>
      <c r="E33" s="533"/>
      <c r="F33" s="533"/>
      <c r="G33" s="533"/>
      <c r="H33" s="533"/>
      <c r="I33" s="533"/>
      <c r="J33" s="533"/>
      <c r="K33" s="533"/>
      <c r="L33" s="533"/>
      <c r="M33" s="533"/>
      <c r="N33" s="533"/>
      <c r="O33" s="528">
        <f t="shared" si="5"/>
        <v>4501</v>
      </c>
      <c r="P33" s="528">
        <f t="shared" si="5"/>
        <v>1215</v>
      </c>
      <c r="Q33" s="528">
        <f t="shared" si="5"/>
        <v>5716</v>
      </c>
      <c r="R33" s="533">
        <v>4501</v>
      </c>
      <c r="S33" s="533">
        <v>1215</v>
      </c>
      <c r="T33" s="533">
        <v>5716</v>
      </c>
      <c r="U33" s="806"/>
      <c r="V33" s="806"/>
      <c r="W33" s="806"/>
      <c r="X33" s="806"/>
      <c r="Y33" s="808"/>
      <c r="Z33" s="541">
        <v>5716334</v>
      </c>
      <c r="AA33" s="787"/>
      <c r="AB33" s="693">
        <v>5716</v>
      </c>
      <c r="AC33" s="790"/>
    </row>
    <row r="34" spans="1:30" ht="24">
      <c r="A34" s="804"/>
      <c r="B34" s="545" t="s">
        <v>617</v>
      </c>
      <c r="C34" s="533"/>
      <c r="D34" s="533"/>
      <c r="E34" s="533"/>
      <c r="F34" s="533"/>
      <c r="G34" s="533"/>
      <c r="H34" s="533"/>
      <c r="I34" s="533"/>
      <c r="J34" s="533"/>
      <c r="K34" s="533"/>
      <c r="L34" s="533"/>
      <c r="M34" s="533"/>
      <c r="N34" s="533"/>
      <c r="O34" s="528">
        <f t="shared" si="5"/>
        <v>4640</v>
      </c>
      <c r="P34" s="528">
        <f t="shared" si="5"/>
        <v>1253</v>
      </c>
      <c r="Q34" s="528">
        <f t="shared" si="5"/>
        <v>5893</v>
      </c>
      <c r="R34" s="533">
        <v>4640</v>
      </c>
      <c r="S34" s="533">
        <v>1253</v>
      </c>
      <c r="T34" s="533">
        <v>5893</v>
      </c>
      <c r="U34" s="806"/>
      <c r="V34" s="806"/>
      <c r="W34" s="806"/>
      <c r="X34" s="806"/>
      <c r="Y34" s="808"/>
      <c r="Z34" s="541">
        <v>2895600</v>
      </c>
      <c r="AA34" s="787"/>
      <c r="AB34" s="693">
        <v>2896</v>
      </c>
      <c r="AC34" s="790"/>
    </row>
    <row r="35" spans="1:30" ht="24.75" customHeight="1">
      <c r="A35" s="804"/>
      <c r="B35" s="532" t="s">
        <v>618</v>
      </c>
      <c r="C35" s="533"/>
      <c r="D35" s="533"/>
      <c r="E35" s="533"/>
      <c r="F35" s="533"/>
      <c r="G35" s="533"/>
      <c r="H35" s="533"/>
      <c r="I35" s="533"/>
      <c r="J35" s="533"/>
      <c r="K35" s="533"/>
      <c r="L35" s="533"/>
      <c r="M35" s="533"/>
      <c r="N35" s="533"/>
      <c r="O35" s="528">
        <f t="shared" si="5"/>
        <v>8609</v>
      </c>
      <c r="P35" s="528">
        <f t="shared" si="5"/>
        <v>2324</v>
      </c>
      <c r="Q35" s="528">
        <f t="shared" si="5"/>
        <v>10933</v>
      </c>
      <c r="R35" s="533">
        <v>8609</v>
      </c>
      <c r="S35" s="533">
        <v>2324</v>
      </c>
      <c r="T35" s="533">
        <v>10933</v>
      </c>
      <c r="U35" s="806"/>
      <c r="V35" s="806"/>
      <c r="W35" s="806"/>
      <c r="X35" s="806"/>
      <c r="Y35" s="808"/>
      <c r="Z35" s="541">
        <v>10934022</v>
      </c>
      <c r="AA35" s="787"/>
      <c r="AB35" s="693">
        <v>10934</v>
      </c>
      <c r="AC35" s="790"/>
    </row>
    <row r="36" spans="1:30" ht="34.5" customHeight="1">
      <c r="A36" s="804"/>
      <c r="B36" s="532" t="s">
        <v>619</v>
      </c>
      <c r="C36" s="533"/>
      <c r="D36" s="533"/>
      <c r="E36" s="533"/>
      <c r="F36" s="533"/>
      <c r="G36" s="533"/>
      <c r="H36" s="533"/>
      <c r="I36" s="533"/>
      <c r="J36" s="533"/>
      <c r="K36" s="533"/>
      <c r="L36" s="533"/>
      <c r="M36" s="533"/>
      <c r="N36" s="533"/>
      <c r="O36" s="528">
        <f t="shared" si="5"/>
        <v>2338</v>
      </c>
      <c r="P36" s="528">
        <f t="shared" si="5"/>
        <v>631</v>
      </c>
      <c r="Q36" s="528">
        <f t="shared" si="5"/>
        <v>2969</v>
      </c>
      <c r="R36" s="533">
        <v>2338</v>
      </c>
      <c r="S36" s="533">
        <v>631</v>
      </c>
      <c r="T36" s="533">
        <v>2969</v>
      </c>
      <c r="U36" s="806"/>
      <c r="V36" s="806"/>
      <c r="W36" s="806"/>
      <c r="X36" s="806"/>
      <c r="Y36" s="808"/>
      <c r="Z36" s="541">
        <v>2968625</v>
      </c>
      <c r="AA36" s="787"/>
      <c r="AB36" s="693">
        <v>2969</v>
      </c>
      <c r="AC36" s="790"/>
    </row>
    <row r="37" spans="1:30" ht="24.75" customHeight="1">
      <c r="A37" s="804"/>
      <c r="B37" s="532" t="s">
        <v>620</v>
      </c>
      <c r="C37" s="533"/>
      <c r="D37" s="533"/>
      <c r="E37" s="533"/>
      <c r="F37" s="533"/>
      <c r="G37" s="533"/>
      <c r="H37" s="533"/>
      <c r="I37" s="533"/>
      <c r="J37" s="533"/>
      <c r="K37" s="533"/>
      <c r="L37" s="533"/>
      <c r="M37" s="533"/>
      <c r="N37" s="533"/>
      <c r="O37" s="528">
        <f t="shared" ref="O37:Q74" si="6">R37-L37</f>
        <v>61</v>
      </c>
      <c r="P37" s="528">
        <f t="shared" si="6"/>
        <v>16</v>
      </c>
      <c r="Q37" s="528">
        <f t="shared" si="6"/>
        <v>77</v>
      </c>
      <c r="R37" s="533">
        <v>61</v>
      </c>
      <c r="S37" s="533">
        <v>16</v>
      </c>
      <c r="T37" s="533">
        <v>77</v>
      </c>
      <c r="U37" s="806"/>
      <c r="V37" s="806"/>
      <c r="W37" s="806"/>
      <c r="X37" s="806"/>
      <c r="Y37" s="808"/>
      <c r="Z37" s="541">
        <v>77008</v>
      </c>
      <c r="AA37" s="787"/>
      <c r="AB37" s="693">
        <v>77</v>
      </c>
      <c r="AC37" s="790"/>
    </row>
    <row r="38" spans="1:30" ht="27" customHeight="1">
      <c r="A38" s="804"/>
      <c r="B38" s="532" t="s">
        <v>621</v>
      </c>
      <c r="C38" s="535"/>
      <c r="D38" s="535"/>
      <c r="E38" s="535"/>
      <c r="F38" s="535"/>
      <c r="G38" s="535"/>
      <c r="H38" s="535"/>
      <c r="I38" s="535"/>
      <c r="J38" s="535"/>
      <c r="K38" s="535"/>
      <c r="L38" s="533"/>
      <c r="M38" s="533"/>
      <c r="N38" s="533"/>
      <c r="O38" s="528">
        <f t="shared" si="6"/>
        <v>121</v>
      </c>
      <c r="P38" s="528">
        <f t="shared" si="6"/>
        <v>33</v>
      </c>
      <c r="Q38" s="528">
        <f t="shared" si="6"/>
        <v>154</v>
      </c>
      <c r="R38" s="533">
        <v>121</v>
      </c>
      <c r="S38" s="533">
        <v>33</v>
      </c>
      <c r="T38" s="533">
        <v>154</v>
      </c>
      <c r="U38" s="806"/>
      <c r="V38" s="806"/>
      <c r="W38" s="806"/>
      <c r="X38" s="806"/>
      <c r="Y38" s="808"/>
      <c r="Z38" s="541">
        <v>149103</v>
      </c>
      <c r="AA38" s="787"/>
      <c r="AB38" s="693">
        <v>149</v>
      </c>
      <c r="AC38" s="790"/>
    </row>
    <row r="39" spans="1:30" ht="31.5" customHeight="1">
      <c r="A39" s="804"/>
      <c r="B39" s="532" t="s">
        <v>622</v>
      </c>
      <c r="C39" s="535"/>
      <c r="D39" s="535"/>
      <c r="E39" s="535"/>
      <c r="F39" s="535"/>
      <c r="G39" s="535"/>
      <c r="H39" s="535"/>
      <c r="I39" s="535"/>
      <c r="J39" s="535"/>
      <c r="K39" s="535"/>
      <c r="L39" s="533"/>
      <c r="M39" s="533"/>
      <c r="N39" s="533"/>
      <c r="O39" s="528">
        <f t="shared" si="6"/>
        <v>2685</v>
      </c>
      <c r="P39" s="528">
        <f t="shared" si="6"/>
        <v>725</v>
      </c>
      <c r="Q39" s="528">
        <f t="shared" si="6"/>
        <v>3410</v>
      </c>
      <c r="R39" s="533">
        <v>2685</v>
      </c>
      <c r="S39" s="533">
        <v>725</v>
      </c>
      <c r="T39" s="533">
        <v>3410</v>
      </c>
      <c r="U39" s="806"/>
      <c r="V39" s="806"/>
      <c r="W39" s="806"/>
      <c r="X39" s="806"/>
      <c r="Y39" s="808"/>
      <c r="Z39" s="541">
        <v>3410514</v>
      </c>
      <c r="AA39" s="787"/>
      <c r="AB39" s="693">
        <v>3411</v>
      </c>
      <c r="AC39" s="790"/>
    </row>
    <row r="40" spans="1:30" ht="34.5" customHeight="1">
      <c r="A40" s="804"/>
      <c r="B40" s="546" t="s">
        <v>623</v>
      </c>
      <c r="C40" s="533"/>
      <c r="D40" s="533"/>
      <c r="E40" s="533"/>
      <c r="F40" s="533"/>
      <c r="G40" s="533"/>
      <c r="H40" s="533"/>
      <c r="I40" s="533"/>
      <c r="J40" s="533"/>
      <c r="K40" s="533"/>
      <c r="L40" s="533"/>
      <c r="M40" s="533"/>
      <c r="N40" s="533"/>
      <c r="O40" s="528">
        <f t="shared" si="6"/>
        <v>849</v>
      </c>
      <c r="P40" s="528">
        <f t="shared" si="6"/>
        <v>229</v>
      </c>
      <c r="Q40" s="528">
        <f t="shared" si="6"/>
        <v>1078</v>
      </c>
      <c r="R40" s="533">
        <v>849</v>
      </c>
      <c r="S40" s="533">
        <v>229</v>
      </c>
      <c r="T40" s="533">
        <v>1078</v>
      </c>
      <c r="U40" s="806"/>
      <c r="V40" s="806"/>
      <c r="W40" s="806"/>
      <c r="X40" s="806"/>
      <c r="Y40" s="808"/>
      <c r="Z40" s="541">
        <v>1077976</v>
      </c>
      <c r="AA40" s="787"/>
      <c r="AB40" s="693">
        <v>1078</v>
      </c>
      <c r="AC40" s="790"/>
      <c r="AD40" s="633"/>
    </row>
    <row r="41" spans="1:30" ht="30" customHeight="1">
      <c r="A41" s="804"/>
      <c r="B41" s="543" t="s">
        <v>624</v>
      </c>
      <c r="C41" s="535"/>
      <c r="D41" s="535"/>
      <c r="E41" s="535"/>
      <c r="F41" s="535"/>
      <c r="G41" s="535"/>
      <c r="H41" s="535"/>
      <c r="I41" s="535"/>
      <c r="J41" s="535"/>
      <c r="K41" s="535"/>
      <c r="L41" s="533"/>
      <c r="M41" s="533"/>
      <c r="N41" s="533"/>
      <c r="O41" s="528">
        <f t="shared" si="6"/>
        <v>288</v>
      </c>
      <c r="P41" s="528">
        <f t="shared" si="6"/>
        <v>78</v>
      </c>
      <c r="Q41" s="528">
        <f t="shared" si="6"/>
        <v>366</v>
      </c>
      <c r="R41" s="533">
        <v>288</v>
      </c>
      <c r="S41" s="533">
        <v>78</v>
      </c>
      <c r="T41" s="533">
        <v>366</v>
      </c>
      <c r="U41" s="806"/>
      <c r="V41" s="806"/>
      <c r="W41" s="806"/>
      <c r="X41" s="806"/>
      <c r="Y41" s="808"/>
      <c r="Z41" s="541">
        <v>366095</v>
      </c>
      <c r="AA41" s="787"/>
      <c r="AB41" s="693">
        <v>366</v>
      </c>
      <c r="AC41" s="790"/>
    </row>
    <row r="42" spans="1:30" ht="31.5" customHeight="1">
      <c r="A42" s="804"/>
      <c r="B42" s="543" t="s">
        <v>625</v>
      </c>
      <c r="C42" s="535"/>
      <c r="D42" s="535"/>
      <c r="E42" s="535"/>
      <c r="F42" s="535"/>
      <c r="G42" s="535"/>
      <c r="H42" s="535"/>
      <c r="I42" s="535"/>
      <c r="J42" s="535"/>
      <c r="K42" s="535"/>
      <c r="L42" s="533"/>
      <c r="M42" s="533"/>
      <c r="N42" s="533"/>
      <c r="O42" s="528">
        <f t="shared" si="6"/>
        <v>7942</v>
      </c>
      <c r="P42" s="528">
        <f t="shared" si="6"/>
        <v>2144</v>
      </c>
      <c r="Q42" s="528">
        <f t="shared" si="6"/>
        <v>10086</v>
      </c>
      <c r="R42" s="533">
        <v>7942</v>
      </c>
      <c r="S42" s="533">
        <v>2144</v>
      </c>
      <c r="T42" s="533">
        <v>10086</v>
      </c>
      <c r="U42" s="806"/>
      <c r="V42" s="806"/>
      <c r="W42" s="806"/>
      <c r="X42" s="806"/>
      <c r="Y42" s="808"/>
      <c r="Z42" s="541">
        <v>10085756</v>
      </c>
      <c r="AA42" s="787"/>
      <c r="AB42" s="693">
        <v>10086</v>
      </c>
      <c r="AC42" s="790"/>
    </row>
    <row r="43" spans="1:30" ht="33" customHeight="1">
      <c r="A43" s="804"/>
      <c r="B43" s="532" t="s">
        <v>626</v>
      </c>
      <c r="C43" s="535"/>
      <c r="D43" s="535"/>
      <c r="E43" s="533"/>
      <c r="F43" s="533"/>
      <c r="G43" s="533"/>
      <c r="H43" s="533"/>
      <c r="I43" s="533"/>
      <c r="J43" s="533"/>
      <c r="K43" s="533"/>
      <c r="L43" s="533"/>
      <c r="M43" s="533"/>
      <c r="N43" s="533"/>
      <c r="O43" s="528">
        <f t="shared" si="6"/>
        <v>717</v>
      </c>
      <c r="P43" s="528">
        <f t="shared" si="6"/>
        <v>193</v>
      </c>
      <c r="Q43" s="528">
        <f t="shared" si="6"/>
        <v>910</v>
      </c>
      <c r="R43" s="533">
        <v>717</v>
      </c>
      <c r="S43" s="533">
        <v>193</v>
      </c>
      <c r="T43" s="533">
        <v>910</v>
      </c>
      <c r="U43" s="806"/>
      <c r="V43" s="806"/>
      <c r="W43" s="806"/>
      <c r="X43" s="806"/>
      <c r="Y43" s="808"/>
      <c r="Z43" s="541">
        <v>910279</v>
      </c>
      <c r="AA43" s="787"/>
      <c r="AB43" s="693">
        <v>910</v>
      </c>
      <c r="AC43" s="790"/>
    </row>
    <row r="44" spans="1:30" ht="31.5" customHeight="1">
      <c r="A44" s="804"/>
      <c r="B44" s="532" t="s">
        <v>627</v>
      </c>
      <c r="C44" s="535"/>
      <c r="D44" s="535"/>
      <c r="E44" s="535"/>
      <c r="F44" s="535"/>
      <c r="G44" s="535"/>
      <c r="H44" s="535"/>
      <c r="I44" s="535"/>
      <c r="J44" s="535"/>
      <c r="K44" s="535"/>
      <c r="L44" s="533"/>
      <c r="M44" s="533"/>
      <c r="N44" s="533"/>
      <c r="O44" s="528">
        <f t="shared" si="6"/>
        <v>3818</v>
      </c>
      <c r="P44" s="528">
        <f t="shared" si="6"/>
        <v>1031</v>
      </c>
      <c r="Q44" s="528">
        <f t="shared" si="6"/>
        <v>4849</v>
      </c>
      <c r="R44" s="533">
        <v>3818</v>
      </c>
      <c r="S44" s="533">
        <v>1031</v>
      </c>
      <c r="T44" s="533">
        <v>4849</v>
      </c>
      <c r="U44" s="806"/>
      <c r="V44" s="806"/>
      <c r="W44" s="806"/>
      <c r="X44" s="806"/>
      <c r="Y44" s="808"/>
      <c r="Z44" s="541">
        <v>3166110</v>
      </c>
      <c r="AA44" s="787"/>
      <c r="AB44" s="693">
        <v>3166</v>
      </c>
      <c r="AC44" s="790"/>
    </row>
    <row r="45" spans="1:30" ht="31.5" customHeight="1">
      <c r="A45" s="804"/>
      <c r="B45" s="532" t="s">
        <v>628</v>
      </c>
      <c r="C45" s="535"/>
      <c r="D45" s="535"/>
      <c r="E45" s="535"/>
      <c r="F45" s="535"/>
      <c r="G45" s="535"/>
      <c r="H45" s="535"/>
      <c r="I45" s="535"/>
      <c r="J45" s="535"/>
      <c r="K45" s="535"/>
      <c r="L45" s="533"/>
      <c r="M45" s="533"/>
      <c r="N45" s="533"/>
      <c r="O45" s="528">
        <f t="shared" si="6"/>
        <v>35</v>
      </c>
      <c r="P45" s="528">
        <f t="shared" si="6"/>
        <v>10</v>
      </c>
      <c r="Q45" s="528">
        <f t="shared" si="6"/>
        <v>45</v>
      </c>
      <c r="R45" s="533">
        <v>35</v>
      </c>
      <c r="S45" s="533">
        <v>10</v>
      </c>
      <c r="T45" s="533">
        <v>45</v>
      </c>
      <c r="U45" s="806"/>
      <c r="V45" s="806"/>
      <c r="W45" s="806"/>
      <c r="X45" s="806"/>
      <c r="Y45" s="808"/>
      <c r="Z45" s="541">
        <v>44750</v>
      </c>
      <c r="AA45" s="787"/>
      <c r="AB45" s="693">
        <v>45</v>
      </c>
      <c r="AC45" s="790"/>
    </row>
    <row r="46" spans="1:30" ht="31.5" customHeight="1">
      <c r="A46" s="804"/>
      <c r="B46" s="532" t="s">
        <v>629</v>
      </c>
      <c r="C46" s="535"/>
      <c r="D46" s="535"/>
      <c r="E46" s="535"/>
      <c r="F46" s="535"/>
      <c r="G46" s="535"/>
      <c r="H46" s="535"/>
      <c r="I46" s="535"/>
      <c r="J46" s="535"/>
      <c r="K46" s="535"/>
      <c r="L46" s="533"/>
      <c r="M46" s="533"/>
      <c r="N46" s="533"/>
      <c r="O46" s="528">
        <f t="shared" si="6"/>
        <v>18</v>
      </c>
      <c r="P46" s="528">
        <f t="shared" si="6"/>
        <v>5</v>
      </c>
      <c r="Q46" s="528">
        <f t="shared" si="6"/>
        <v>23</v>
      </c>
      <c r="R46" s="533">
        <v>18</v>
      </c>
      <c r="S46" s="533">
        <v>5</v>
      </c>
      <c r="T46" s="533">
        <v>23</v>
      </c>
      <c r="U46" s="806"/>
      <c r="V46" s="806"/>
      <c r="W46" s="806"/>
      <c r="X46" s="806"/>
      <c r="Y46" s="808"/>
      <c r="Z46" s="541">
        <v>22319</v>
      </c>
      <c r="AA46" s="787"/>
      <c r="AB46" s="693">
        <v>22</v>
      </c>
      <c r="AC46" s="790"/>
    </row>
    <row r="47" spans="1:30" ht="31.5" customHeight="1">
      <c r="A47" s="804"/>
      <c r="B47" s="532" t="s">
        <v>629</v>
      </c>
      <c r="C47" s="535"/>
      <c r="D47" s="535"/>
      <c r="E47" s="535"/>
      <c r="F47" s="535"/>
      <c r="G47" s="535"/>
      <c r="H47" s="535"/>
      <c r="I47" s="535"/>
      <c r="J47" s="535"/>
      <c r="K47" s="535"/>
      <c r="L47" s="533"/>
      <c r="M47" s="533"/>
      <c r="N47" s="533"/>
      <c r="O47" s="528">
        <f t="shared" si="6"/>
        <v>188</v>
      </c>
      <c r="P47" s="528">
        <f t="shared" si="6"/>
        <v>51</v>
      </c>
      <c r="Q47" s="528">
        <f t="shared" si="6"/>
        <v>239</v>
      </c>
      <c r="R47" s="533">
        <v>188</v>
      </c>
      <c r="S47" s="533">
        <v>51</v>
      </c>
      <c r="T47" s="533">
        <v>239</v>
      </c>
      <c r="U47" s="806"/>
      <c r="V47" s="806"/>
      <c r="W47" s="806"/>
      <c r="X47" s="806"/>
      <c r="Y47" s="808"/>
      <c r="Z47" s="541">
        <v>0</v>
      </c>
      <c r="AA47" s="787"/>
      <c r="AB47" s="693">
        <v>0</v>
      </c>
      <c r="AC47" s="790"/>
    </row>
    <row r="48" spans="1:30" ht="31.5" customHeight="1">
      <c r="A48" s="804"/>
      <c r="B48" s="532" t="s">
        <v>629</v>
      </c>
      <c r="C48" s="535"/>
      <c r="D48" s="535"/>
      <c r="E48" s="535"/>
      <c r="F48" s="535"/>
      <c r="G48" s="535"/>
      <c r="H48" s="535"/>
      <c r="I48" s="535"/>
      <c r="J48" s="535"/>
      <c r="K48" s="535"/>
      <c r="L48" s="533"/>
      <c r="M48" s="533"/>
      <c r="N48" s="533"/>
      <c r="O48" s="528">
        <f t="shared" si="6"/>
        <v>941</v>
      </c>
      <c r="P48" s="528">
        <f t="shared" si="6"/>
        <v>254</v>
      </c>
      <c r="Q48" s="528">
        <f t="shared" si="6"/>
        <v>1195</v>
      </c>
      <c r="R48" s="533">
        <v>941</v>
      </c>
      <c r="S48" s="533">
        <v>254</v>
      </c>
      <c r="T48" s="533">
        <v>1195</v>
      </c>
      <c r="U48" s="806"/>
      <c r="V48" s="806"/>
      <c r="W48" s="806"/>
      <c r="X48" s="806"/>
      <c r="Y48" s="808"/>
      <c r="Z48" s="541">
        <v>0</v>
      </c>
      <c r="AA48" s="787"/>
      <c r="AB48" s="693">
        <v>0</v>
      </c>
      <c r="AC48" s="790"/>
    </row>
    <row r="49" spans="1:29" ht="31.5" customHeight="1">
      <c r="A49" s="804"/>
      <c r="B49" s="532" t="s">
        <v>630</v>
      </c>
      <c r="C49" s="535"/>
      <c r="D49" s="535"/>
      <c r="E49" s="535"/>
      <c r="F49" s="535"/>
      <c r="G49" s="535"/>
      <c r="H49" s="535"/>
      <c r="I49" s="535"/>
      <c r="J49" s="535"/>
      <c r="K49" s="535"/>
      <c r="L49" s="533"/>
      <c r="M49" s="533"/>
      <c r="N49" s="533"/>
      <c r="O49" s="528">
        <f t="shared" si="6"/>
        <v>100</v>
      </c>
      <c r="P49" s="528">
        <f t="shared" si="6"/>
        <v>27</v>
      </c>
      <c r="Q49" s="528">
        <f t="shared" si="6"/>
        <v>127</v>
      </c>
      <c r="R49" s="533">
        <v>100</v>
      </c>
      <c r="S49" s="533">
        <v>27</v>
      </c>
      <c r="T49" s="533">
        <v>127</v>
      </c>
      <c r="U49" s="806"/>
      <c r="V49" s="806"/>
      <c r="W49" s="806"/>
      <c r="X49" s="806"/>
      <c r="Y49" s="808"/>
      <c r="Z49" s="541">
        <v>126873</v>
      </c>
      <c r="AA49" s="787"/>
      <c r="AB49" s="693">
        <v>127</v>
      </c>
      <c r="AC49" s="790"/>
    </row>
    <row r="50" spans="1:29" ht="31.5" customHeight="1">
      <c r="A50" s="804"/>
      <c r="B50" s="532" t="s">
        <v>631</v>
      </c>
      <c r="C50" s="535"/>
      <c r="D50" s="535"/>
      <c r="E50" s="535"/>
      <c r="F50" s="535"/>
      <c r="G50" s="535"/>
      <c r="H50" s="535"/>
      <c r="I50" s="535"/>
      <c r="J50" s="535"/>
      <c r="K50" s="535"/>
      <c r="L50" s="533"/>
      <c r="M50" s="533"/>
      <c r="N50" s="533"/>
      <c r="O50" s="528">
        <f t="shared" si="6"/>
        <v>1746</v>
      </c>
      <c r="P50" s="528">
        <f t="shared" si="6"/>
        <v>472</v>
      </c>
      <c r="Q50" s="528">
        <f t="shared" si="6"/>
        <v>2218</v>
      </c>
      <c r="R50" s="533">
        <v>1746</v>
      </c>
      <c r="S50" s="533">
        <v>472</v>
      </c>
      <c r="T50" s="533">
        <v>2218</v>
      </c>
      <c r="U50" s="806"/>
      <c r="V50" s="806"/>
      <c r="W50" s="806"/>
      <c r="X50" s="806"/>
      <c r="Y50" s="808"/>
      <c r="Z50" s="541">
        <v>0</v>
      </c>
      <c r="AA50" s="787"/>
      <c r="AB50" s="693">
        <v>0</v>
      </c>
      <c r="AC50" s="790"/>
    </row>
    <row r="51" spans="1:29" ht="31.5" customHeight="1">
      <c r="A51" s="804"/>
      <c r="B51" s="532" t="s">
        <v>632</v>
      </c>
      <c r="C51" s="535"/>
      <c r="D51" s="535"/>
      <c r="E51" s="535"/>
      <c r="F51" s="535"/>
      <c r="G51" s="535"/>
      <c r="H51" s="535"/>
      <c r="I51" s="535"/>
      <c r="J51" s="535"/>
      <c r="K51" s="535"/>
      <c r="L51" s="533"/>
      <c r="M51" s="533"/>
      <c r="N51" s="533"/>
      <c r="O51" s="528">
        <f t="shared" si="6"/>
        <v>4989</v>
      </c>
      <c r="P51" s="528">
        <f t="shared" si="6"/>
        <v>1347</v>
      </c>
      <c r="Q51" s="528">
        <f t="shared" si="6"/>
        <v>6336</v>
      </c>
      <c r="R51" s="533">
        <v>4989</v>
      </c>
      <c r="S51" s="533">
        <v>1347</v>
      </c>
      <c r="T51" s="533">
        <v>6336</v>
      </c>
      <c r="U51" s="806"/>
      <c r="V51" s="806"/>
      <c r="W51" s="806"/>
      <c r="X51" s="806"/>
      <c r="Y51" s="808"/>
      <c r="Z51" s="541">
        <v>6336030</v>
      </c>
      <c r="AA51" s="787"/>
      <c r="AB51" s="693">
        <v>6336</v>
      </c>
      <c r="AC51" s="790"/>
    </row>
    <row r="52" spans="1:29" ht="31.5" customHeight="1">
      <c r="A52" s="804"/>
      <c r="B52" s="532" t="s">
        <v>633</v>
      </c>
      <c r="C52" s="535"/>
      <c r="D52" s="535"/>
      <c r="E52" s="535"/>
      <c r="F52" s="535"/>
      <c r="G52" s="535"/>
      <c r="H52" s="535"/>
      <c r="I52" s="535"/>
      <c r="J52" s="535"/>
      <c r="K52" s="535"/>
      <c r="L52" s="533"/>
      <c r="M52" s="533"/>
      <c r="N52" s="533"/>
      <c r="O52" s="528">
        <f t="shared" si="6"/>
        <v>2813</v>
      </c>
      <c r="P52" s="528">
        <f t="shared" si="6"/>
        <v>759</v>
      </c>
      <c r="Q52" s="528">
        <f t="shared" si="6"/>
        <v>3572</v>
      </c>
      <c r="R52" s="533">
        <v>2813</v>
      </c>
      <c r="S52" s="533">
        <v>759</v>
      </c>
      <c r="T52" s="533">
        <v>3572</v>
      </c>
      <c r="U52" s="806"/>
      <c r="V52" s="806"/>
      <c r="W52" s="806"/>
      <c r="X52" s="806"/>
      <c r="Y52" s="808"/>
      <c r="Z52" s="541">
        <v>3572431</v>
      </c>
      <c r="AA52" s="787"/>
      <c r="AB52" s="693">
        <v>3572</v>
      </c>
      <c r="AC52" s="790"/>
    </row>
    <row r="53" spans="1:29" ht="31.5" customHeight="1">
      <c r="A53" s="804"/>
      <c r="B53" s="532" t="s">
        <v>634</v>
      </c>
      <c r="C53" s="535"/>
      <c r="D53" s="535"/>
      <c r="E53" s="535"/>
      <c r="F53" s="535"/>
      <c r="G53" s="535"/>
      <c r="H53" s="535"/>
      <c r="I53" s="535"/>
      <c r="J53" s="535"/>
      <c r="K53" s="535"/>
      <c r="L53" s="533"/>
      <c r="M53" s="533"/>
      <c r="N53" s="533"/>
      <c r="O53" s="528">
        <f t="shared" si="6"/>
        <v>213</v>
      </c>
      <c r="P53" s="528">
        <f t="shared" si="6"/>
        <v>58</v>
      </c>
      <c r="Q53" s="528">
        <f t="shared" si="6"/>
        <v>271</v>
      </c>
      <c r="R53" s="533">
        <v>213</v>
      </c>
      <c r="S53" s="533">
        <v>58</v>
      </c>
      <c r="T53" s="533">
        <v>271</v>
      </c>
      <c r="U53" s="806"/>
      <c r="V53" s="806"/>
      <c r="W53" s="806"/>
      <c r="X53" s="806"/>
      <c r="Y53" s="808"/>
      <c r="Z53" s="541">
        <v>0</v>
      </c>
      <c r="AA53" s="787"/>
      <c r="AB53" s="693">
        <v>0</v>
      </c>
      <c r="AC53" s="790"/>
    </row>
    <row r="54" spans="1:29" ht="31.5" customHeight="1">
      <c r="A54" s="804"/>
      <c r="B54" s="532" t="s">
        <v>635</v>
      </c>
      <c r="C54" s="535"/>
      <c r="D54" s="535"/>
      <c r="E54" s="535"/>
      <c r="F54" s="535"/>
      <c r="G54" s="535"/>
      <c r="H54" s="535"/>
      <c r="I54" s="535"/>
      <c r="J54" s="535"/>
      <c r="K54" s="535"/>
      <c r="L54" s="533"/>
      <c r="M54" s="533"/>
      <c r="N54" s="533"/>
      <c r="O54" s="528">
        <f t="shared" si="6"/>
        <v>312</v>
      </c>
      <c r="P54" s="528">
        <f t="shared" si="6"/>
        <v>84</v>
      </c>
      <c r="Q54" s="528">
        <f t="shared" si="6"/>
        <v>396</v>
      </c>
      <c r="R54" s="533">
        <v>312</v>
      </c>
      <c r="S54" s="533">
        <v>84</v>
      </c>
      <c r="T54" s="533">
        <v>396</v>
      </c>
      <c r="U54" s="806"/>
      <c r="V54" s="806"/>
      <c r="W54" s="806"/>
      <c r="X54" s="806"/>
      <c r="Y54" s="808"/>
      <c r="Z54" s="541">
        <v>0</v>
      </c>
      <c r="AA54" s="787"/>
      <c r="AB54" s="693">
        <v>0</v>
      </c>
      <c r="AC54" s="790"/>
    </row>
    <row r="55" spans="1:29" ht="31.5" customHeight="1">
      <c r="A55" s="804"/>
      <c r="B55" s="532" t="s">
        <v>636</v>
      </c>
      <c r="C55" s="535"/>
      <c r="D55" s="535"/>
      <c r="E55" s="535"/>
      <c r="F55" s="535"/>
      <c r="G55" s="535"/>
      <c r="H55" s="535"/>
      <c r="I55" s="535"/>
      <c r="J55" s="535"/>
      <c r="K55" s="535"/>
      <c r="L55" s="533"/>
      <c r="M55" s="533"/>
      <c r="N55" s="533"/>
      <c r="O55" s="528">
        <f t="shared" si="6"/>
        <v>3511</v>
      </c>
      <c r="P55" s="528">
        <f t="shared" si="6"/>
        <v>948</v>
      </c>
      <c r="Q55" s="528">
        <f t="shared" si="6"/>
        <v>4459</v>
      </c>
      <c r="R55" s="533">
        <v>3511</v>
      </c>
      <c r="S55" s="533">
        <v>948</v>
      </c>
      <c r="T55" s="533">
        <v>4459</v>
      </c>
      <c r="U55" s="806"/>
      <c r="V55" s="806"/>
      <c r="W55" s="806"/>
      <c r="X55" s="806"/>
      <c r="Y55" s="808"/>
      <c r="Z55" s="541">
        <v>0</v>
      </c>
      <c r="AA55" s="787"/>
      <c r="AB55" s="693">
        <v>0</v>
      </c>
      <c r="AC55" s="790"/>
    </row>
    <row r="56" spans="1:29" ht="31.5" customHeight="1">
      <c r="A56" s="804"/>
      <c r="B56" s="547" t="s">
        <v>637</v>
      </c>
      <c r="C56" s="535"/>
      <c r="D56" s="535"/>
      <c r="E56" s="535"/>
      <c r="F56" s="535"/>
      <c r="G56" s="535"/>
      <c r="H56" s="535"/>
      <c r="I56" s="535"/>
      <c r="J56" s="535"/>
      <c r="K56" s="535"/>
      <c r="L56" s="533"/>
      <c r="M56" s="533"/>
      <c r="N56" s="533"/>
      <c r="O56" s="528">
        <f t="shared" si="6"/>
        <v>5369</v>
      </c>
      <c r="P56" s="528">
        <f t="shared" si="6"/>
        <v>1450</v>
      </c>
      <c r="Q56" s="528">
        <f t="shared" si="6"/>
        <v>6819</v>
      </c>
      <c r="R56" s="533">
        <v>5369</v>
      </c>
      <c r="S56" s="533">
        <v>1450</v>
      </c>
      <c r="T56" s="533">
        <v>6819</v>
      </c>
      <c r="U56" s="806"/>
      <c r="V56" s="806"/>
      <c r="W56" s="806"/>
      <c r="X56" s="806"/>
      <c r="Y56" s="808"/>
      <c r="Z56" s="541">
        <v>0</v>
      </c>
      <c r="AA56" s="787"/>
      <c r="AB56" s="693">
        <v>0</v>
      </c>
      <c r="AC56" s="790"/>
    </row>
    <row r="57" spans="1:29" ht="31.5" customHeight="1">
      <c r="A57" s="804"/>
      <c r="B57" s="547" t="s">
        <v>638</v>
      </c>
      <c r="C57" s="535"/>
      <c r="D57" s="535"/>
      <c r="E57" s="535"/>
      <c r="F57" s="535"/>
      <c r="G57" s="535"/>
      <c r="H57" s="535"/>
      <c r="I57" s="535"/>
      <c r="J57" s="535"/>
      <c r="K57" s="535"/>
      <c r="L57" s="533"/>
      <c r="M57" s="533"/>
      <c r="N57" s="533"/>
      <c r="O57" s="528">
        <f t="shared" si="6"/>
        <v>2387</v>
      </c>
      <c r="P57" s="528">
        <f t="shared" si="6"/>
        <v>644</v>
      </c>
      <c r="Q57" s="528">
        <f t="shared" si="6"/>
        <v>3031</v>
      </c>
      <c r="R57" s="533">
        <v>2387</v>
      </c>
      <c r="S57" s="533">
        <v>644</v>
      </c>
      <c r="T57" s="533">
        <v>3031</v>
      </c>
      <c r="U57" s="806"/>
      <c r="V57" s="806"/>
      <c r="W57" s="806"/>
      <c r="X57" s="806"/>
      <c r="Y57" s="808"/>
      <c r="Z57" s="541">
        <v>0</v>
      </c>
      <c r="AA57" s="787"/>
      <c r="AB57" s="693">
        <v>0</v>
      </c>
      <c r="AC57" s="790"/>
    </row>
    <row r="58" spans="1:29" ht="31.5" customHeight="1">
      <c r="A58" s="804"/>
      <c r="B58" s="547" t="s">
        <v>639</v>
      </c>
      <c r="C58" s="535"/>
      <c r="D58" s="535"/>
      <c r="E58" s="535"/>
      <c r="F58" s="535"/>
      <c r="G58" s="535"/>
      <c r="H58" s="535"/>
      <c r="I58" s="535"/>
      <c r="J58" s="535"/>
      <c r="K58" s="535"/>
      <c r="L58" s="533"/>
      <c r="M58" s="533"/>
      <c r="N58" s="533"/>
      <c r="O58" s="528">
        <f t="shared" si="6"/>
        <v>1704</v>
      </c>
      <c r="P58" s="528">
        <f t="shared" si="6"/>
        <v>460</v>
      </c>
      <c r="Q58" s="528">
        <f t="shared" si="6"/>
        <v>2164</v>
      </c>
      <c r="R58" s="533">
        <v>1704</v>
      </c>
      <c r="S58" s="533">
        <v>460</v>
      </c>
      <c r="T58" s="533">
        <v>2164</v>
      </c>
      <c r="U58" s="806"/>
      <c r="V58" s="806"/>
      <c r="W58" s="806"/>
      <c r="X58" s="806"/>
      <c r="Y58" s="808"/>
      <c r="Z58" s="541">
        <v>0</v>
      </c>
      <c r="AA58" s="787"/>
      <c r="AB58" s="693">
        <v>0</v>
      </c>
      <c r="AC58" s="790"/>
    </row>
    <row r="59" spans="1:29" ht="31.5" customHeight="1">
      <c r="A59" s="804"/>
      <c r="B59" s="547" t="s">
        <v>640</v>
      </c>
      <c r="C59" s="535"/>
      <c r="D59" s="535"/>
      <c r="E59" s="535"/>
      <c r="F59" s="535"/>
      <c r="G59" s="535"/>
      <c r="H59" s="535"/>
      <c r="I59" s="535"/>
      <c r="J59" s="535"/>
      <c r="K59" s="535"/>
      <c r="L59" s="533"/>
      <c r="M59" s="533"/>
      <c r="N59" s="533"/>
      <c r="O59" s="528">
        <f t="shared" si="6"/>
        <v>6549</v>
      </c>
      <c r="P59" s="528">
        <f t="shared" si="6"/>
        <v>1769</v>
      </c>
      <c r="Q59" s="528">
        <f t="shared" si="6"/>
        <v>8318</v>
      </c>
      <c r="R59" s="533">
        <v>6549</v>
      </c>
      <c r="S59" s="533">
        <v>1769</v>
      </c>
      <c r="T59" s="533">
        <v>8318</v>
      </c>
      <c r="U59" s="806"/>
      <c r="V59" s="806"/>
      <c r="W59" s="806"/>
      <c r="X59" s="806"/>
      <c r="Y59" s="808"/>
      <c r="Z59" s="541">
        <v>0</v>
      </c>
      <c r="AA59" s="787"/>
      <c r="AB59" s="693">
        <v>0</v>
      </c>
      <c r="AC59" s="790"/>
    </row>
    <row r="60" spans="1:29" ht="31.5" customHeight="1">
      <c r="A60" s="804"/>
      <c r="B60" s="547" t="s">
        <v>641</v>
      </c>
      <c r="C60" s="535"/>
      <c r="D60" s="535"/>
      <c r="E60" s="535"/>
      <c r="F60" s="535"/>
      <c r="G60" s="535"/>
      <c r="H60" s="535"/>
      <c r="I60" s="535"/>
      <c r="J60" s="535"/>
      <c r="K60" s="535"/>
      <c r="L60" s="533"/>
      <c r="M60" s="533"/>
      <c r="N60" s="533"/>
      <c r="O60" s="528">
        <f t="shared" si="6"/>
        <v>3939</v>
      </c>
      <c r="P60" s="528">
        <f t="shared" si="6"/>
        <v>1064</v>
      </c>
      <c r="Q60" s="528">
        <f t="shared" si="6"/>
        <v>5003</v>
      </c>
      <c r="R60" s="533">
        <v>3939</v>
      </c>
      <c r="S60" s="533">
        <v>1064</v>
      </c>
      <c r="T60" s="533">
        <v>5003</v>
      </c>
      <c r="U60" s="806"/>
      <c r="V60" s="806"/>
      <c r="W60" s="806"/>
      <c r="X60" s="806"/>
      <c r="Y60" s="808"/>
      <c r="Z60" s="541">
        <v>0</v>
      </c>
      <c r="AA60" s="787"/>
      <c r="AB60" s="693">
        <v>0</v>
      </c>
      <c r="AC60" s="790"/>
    </row>
    <row r="61" spans="1:29" ht="31.5" customHeight="1">
      <c r="A61" s="804"/>
      <c r="B61" s="547" t="s">
        <v>642</v>
      </c>
      <c r="C61" s="535"/>
      <c r="D61" s="535"/>
      <c r="E61" s="535"/>
      <c r="F61" s="535"/>
      <c r="G61" s="535"/>
      <c r="H61" s="535"/>
      <c r="I61" s="535"/>
      <c r="J61" s="535"/>
      <c r="K61" s="535"/>
      <c r="L61" s="533"/>
      <c r="M61" s="533"/>
      <c r="N61" s="533"/>
      <c r="O61" s="528">
        <f t="shared" si="6"/>
        <v>1930</v>
      </c>
      <c r="P61" s="528">
        <f t="shared" si="6"/>
        <v>521</v>
      </c>
      <c r="Q61" s="528">
        <f t="shared" si="6"/>
        <v>2451</v>
      </c>
      <c r="R61" s="533">
        <v>1930</v>
      </c>
      <c r="S61" s="533">
        <v>521</v>
      </c>
      <c r="T61" s="533">
        <v>2451</v>
      </c>
      <c r="U61" s="806"/>
      <c r="V61" s="806"/>
      <c r="W61" s="806"/>
      <c r="X61" s="806"/>
      <c r="Y61" s="808"/>
      <c r="Z61" s="541">
        <v>0</v>
      </c>
      <c r="AA61" s="787"/>
      <c r="AB61" s="693">
        <v>0</v>
      </c>
      <c r="AC61" s="790"/>
    </row>
    <row r="62" spans="1:29" ht="31.5" customHeight="1">
      <c r="A62" s="804"/>
      <c r="B62" s="547" t="s">
        <v>643</v>
      </c>
      <c r="C62" s="535"/>
      <c r="D62" s="535"/>
      <c r="E62" s="535"/>
      <c r="F62" s="535"/>
      <c r="G62" s="535"/>
      <c r="H62" s="535"/>
      <c r="I62" s="535"/>
      <c r="J62" s="535"/>
      <c r="K62" s="535"/>
      <c r="L62" s="533"/>
      <c r="M62" s="533"/>
      <c r="N62" s="533"/>
      <c r="O62" s="528">
        <f t="shared" si="6"/>
        <v>3641</v>
      </c>
      <c r="P62" s="528">
        <f t="shared" si="6"/>
        <v>983</v>
      </c>
      <c r="Q62" s="528">
        <f t="shared" si="6"/>
        <v>4624</v>
      </c>
      <c r="R62" s="533">
        <v>3641</v>
      </c>
      <c r="S62" s="533">
        <v>983</v>
      </c>
      <c r="T62" s="533">
        <v>4624</v>
      </c>
      <c r="U62" s="806"/>
      <c r="V62" s="806"/>
      <c r="W62" s="806"/>
      <c r="X62" s="806"/>
      <c r="Y62" s="808"/>
      <c r="Z62" s="541">
        <v>0</v>
      </c>
      <c r="AA62" s="787"/>
      <c r="AB62" s="693">
        <v>0</v>
      </c>
      <c r="AC62" s="790"/>
    </row>
    <row r="63" spans="1:29" ht="31.5" customHeight="1">
      <c r="A63" s="804"/>
      <c r="B63" s="547" t="s">
        <v>644</v>
      </c>
      <c r="C63" s="535"/>
      <c r="D63" s="535"/>
      <c r="E63" s="535"/>
      <c r="F63" s="535"/>
      <c r="G63" s="535"/>
      <c r="H63" s="535"/>
      <c r="I63" s="535"/>
      <c r="J63" s="535"/>
      <c r="K63" s="535"/>
      <c r="L63" s="533"/>
      <c r="M63" s="533"/>
      <c r="N63" s="533"/>
      <c r="O63" s="528">
        <f t="shared" si="6"/>
        <v>6564</v>
      </c>
      <c r="P63" s="528">
        <f t="shared" si="6"/>
        <v>1772</v>
      </c>
      <c r="Q63" s="528">
        <f t="shared" si="6"/>
        <v>8336</v>
      </c>
      <c r="R63" s="533">
        <v>6564</v>
      </c>
      <c r="S63" s="533">
        <v>1772</v>
      </c>
      <c r="T63" s="533">
        <v>8336</v>
      </c>
      <c r="U63" s="806"/>
      <c r="V63" s="806"/>
      <c r="W63" s="806"/>
      <c r="X63" s="806"/>
      <c r="Y63" s="808"/>
      <c r="Z63" s="541">
        <v>0</v>
      </c>
      <c r="AA63" s="787"/>
      <c r="AB63" s="693">
        <v>0</v>
      </c>
      <c r="AC63" s="790"/>
    </row>
    <row r="64" spans="1:29" ht="31.5" customHeight="1">
      <c r="A64" s="804"/>
      <c r="B64" s="547" t="s">
        <v>645</v>
      </c>
      <c r="C64" s="535"/>
      <c r="D64" s="535"/>
      <c r="E64" s="535"/>
      <c r="F64" s="535"/>
      <c r="G64" s="535"/>
      <c r="H64" s="535"/>
      <c r="I64" s="535"/>
      <c r="J64" s="535"/>
      <c r="K64" s="535"/>
      <c r="L64" s="533"/>
      <c r="M64" s="533"/>
      <c r="N64" s="533"/>
      <c r="O64" s="528">
        <f t="shared" si="6"/>
        <v>2500</v>
      </c>
      <c r="P64" s="528">
        <f t="shared" si="6"/>
        <v>675</v>
      </c>
      <c r="Q64" s="528">
        <f t="shared" si="6"/>
        <v>3175</v>
      </c>
      <c r="R64" s="533">
        <v>2500</v>
      </c>
      <c r="S64" s="533">
        <v>675</v>
      </c>
      <c r="T64" s="533">
        <v>3175</v>
      </c>
      <c r="U64" s="806"/>
      <c r="V64" s="806"/>
      <c r="W64" s="806"/>
      <c r="X64" s="806"/>
      <c r="Y64" s="808"/>
      <c r="Z64" s="541">
        <v>0</v>
      </c>
      <c r="AA64" s="787"/>
      <c r="AB64" s="693">
        <v>0</v>
      </c>
      <c r="AC64" s="790"/>
    </row>
    <row r="65" spans="1:30" ht="31.5" customHeight="1">
      <c r="A65" s="804"/>
      <c r="B65" s="547" t="s">
        <v>259</v>
      </c>
      <c r="C65" s="535"/>
      <c r="D65" s="535"/>
      <c r="E65" s="535"/>
      <c r="F65" s="535"/>
      <c r="G65" s="535"/>
      <c r="H65" s="535"/>
      <c r="I65" s="535"/>
      <c r="J65" s="535"/>
      <c r="K65" s="535"/>
      <c r="L65" s="548">
        <v>3065</v>
      </c>
      <c r="M65" s="548">
        <v>827</v>
      </c>
      <c r="N65" s="548">
        <f>SUM(L65:M65)</f>
        <v>3892</v>
      </c>
      <c r="O65" s="528">
        <f t="shared" si="6"/>
        <v>0</v>
      </c>
      <c r="P65" s="528">
        <f t="shared" si="6"/>
        <v>0</v>
      </c>
      <c r="Q65" s="528">
        <f t="shared" si="6"/>
        <v>0</v>
      </c>
      <c r="R65" s="533">
        <v>3065</v>
      </c>
      <c r="S65" s="533">
        <v>827</v>
      </c>
      <c r="T65" s="533">
        <v>3892</v>
      </c>
      <c r="U65" s="806"/>
      <c r="V65" s="806"/>
      <c r="W65" s="806"/>
      <c r="X65" s="806"/>
      <c r="Y65" s="808"/>
      <c r="Z65" s="541">
        <v>2896870</v>
      </c>
      <c r="AA65" s="787"/>
      <c r="AB65" s="693">
        <v>2897</v>
      </c>
      <c r="AC65" s="790"/>
    </row>
    <row r="66" spans="1:30" ht="31.5" customHeight="1">
      <c r="A66" s="804"/>
      <c r="B66" s="547" t="s">
        <v>258</v>
      </c>
      <c r="C66" s="535"/>
      <c r="D66" s="535"/>
      <c r="E66" s="535"/>
      <c r="F66" s="535"/>
      <c r="G66" s="535"/>
      <c r="H66" s="535"/>
      <c r="I66" s="535"/>
      <c r="J66" s="535"/>
      <c r="K66" s="535"/>
      <c r="L66" s="549">
        <v>1417</v>
      </c>
      <c r="M66" s="549">
        <v>383</v>
      </c>
      <c r="N66" s="549">
        <f>SUM(L66:M66)</f>
        <v>1800</v>
      </c>
      <c r="O66" s="528">
        <f t="shared" si="6"/>
        <v>0</v>
      </c>
      <c r="P66" s="528">
        <f t="shared" si="6"/>
        <v>0</v>
      </c>
      <c r="Q66" s="528">
        <f t="shared" si="6"/>
        <v>0</v>
      </c>
      <c r="R66" s="533">
        <v>1417</v>
      </c>
      <c r="S66" s="533">
        <v>383</v>
      </c>
      <c r="T66" s="533">
        <v>1800</v>
      </c>
      <c r="U66" s="806"/>
      <c r="V66" s="806"/>
      <c r="W66" s="806"/>
      <c r="X66" s="806"/>
      <c r="Y66" s="808"/>
      <c r="Z66" s="541">
        <v>0</v>
      </c>
      <c r="AA66" s="787"/>
      <c r="AB66" s="693">
        <v>0</v>
      </c>
      <c r="AC66" s="790"/>
    </row>
    <row r="67" spans="1:30" ht="31.5" customHeight="1" thickBot="1">
      <c r="A67" s="805"/>
      <c r="B67" s="550" t="s">
        <v>257</v>
      </c>
      <c r="C67" s="538"/>
      <c r="D67" s="538"/>
      <c r="E67" s="538"/>
      <c r="F67" s="538"/>
      <c r="G67" s="538"/>
      <c r="H67" s="538"/>
      <c r="I67" s="538"/>
      <c r="J67" s="538"/>
      <c r="K67" s="538"/>
      <c r="L67" s="551">
        <v>10000</v>
      </c>
      <c r="M67" s="551">
        <v>2700</v>
      </c>
      <c r="N67" s="551">
        <f>SUM(L67:M67)</f>
        <v>12700</v>
      </c>
      <c r="O67" s="538">
        <f t="shared" si="6"/>
        <v>0</v>
      </c>
      <c r="P67" s="538">
        <f t="shared" si="6"/>
        <v>0</v>
      </c>
      <c r="Q67" s="538">
        <f t="shared" si="6"/>
        <v>0</v>
      </c>
      <c r="R67" s="538">
        <v>10000</v>
      </c>
      <c r="S67" s="538">
        <v>2700</v>
      </c>
      <c r="T67" s="538">
        <v>12700</v>
      </c>
      <c r="U67" s="807"/>
      <c r="V67" s="807"/>
      <c r="W67" s="807"/>
      <c r="X67" s="807"/>
      <c r="Y67" s="809"/>
      <c r="Z67" s="541">
        <v>1742410</v>
      </c>
      <c r="AA67" s="787"/>
      <c r="AB67" s="694">
        <v>1742</v>
      </c>
      <c r="AC67" s="791"/>
    </row>
    <row r="68" spans="1:30" ht="30.75" customHeight="1">
      <c r="A68" s="792" t="s">
        <v>256</v>
      </c>
      <c r="B68" s="552" t="s">
        <v>646</v>
      </c>
      <c r="C68" s="553"/>
      <c r="D68" s="553"/>
      <c r="E68" s="553"/>
      <c r="F68" s="554"/>
      <c r="G68" s="554"/>
      <c r="H68" s="554"/>
      <c r="I68" s="555"/>
      <c r="J68" s="555"/>
      <c r="K68" s="555"/>
      <c r="L68" s="553"/>
      <c r="M68" s="553"/>
      <c r="N68" s="553"/>
      <c r="O68" s="554">
        <f t="shared" si="6"/>
        <v>14728</v>
      </c>
      <c r="P68" s="554">
        <f t="shared" si="6"/>
        <v>3976</v>
      </c>
      <c r="Q68" s="554">
        <f t="shared" si="6"/>
        <v>18704</v>
      </c>
      <c r="R68" s="555">
        <v>14728</v>
      </c>
      <c r="S68" s="555">
        <v>3976</v>
      </c>
      <c r="T68" s="555">
        <v>18704</v>
      </c>
      <c r="U68" s="782">
        <f>SUM(E68:E85)</f>
        <v>21273</v>
      </c>
      <c r="V68" s="782">
        <v>37711</v>
      </c>
      <c r="W68" s="782">
        <f>SUM(N68:N85)</f>
        <v>8718.56</v>
      </c>
      <c r="X68" s="782">
        <f>SUM(T68:T85)</f>
        <v>29698</v>
      </c>
      <c r="Y68" s="784">
        <f>SUM(X68,V68)</f>
        <v>67409</v>
      </c>
      <c r="Z68" s="530">
        <v>0</v>
      </c>
      <c r="AA68" s="798">
        <f>SUM(Z68:Z85)</f>
        <v>26023191</v>
      </c>
      <c r="AB68" s="692">
        <v>0</v>
      </c>
      <c r="AC68" s="789">
        <v>26023</v>
      </c>
    </row>
    <row r="69" spans="1:30" ht="29.25" customHeight="1">
      <c r="A69" s="793"/>
      <c r="B69" s="556" t="s">
        <v>255</v>
      </c>
      <c r="C69" s="533"/>
      <c r="D69" s="533"/>
      <c r="E69" s="533"/>
      <c r="F69" s="533"/>
      <c r="G69" s="533"/>
      <c r="H69" s="533"/>
      <c r="I69" s="533"/>
      <c r="J69" s="533"/>
      <c r="K69" s="533"/>
      <c r="L69" s="548">
        <v>1238</v>
      </c>
      <c r="M69" s="548">
        <v>333</v>
      </c>
      <c r="N69" s="548">
        <v>1571</v>
      </c>
      <c r="O69" s="548">
        <f t="shared" si="6"/>
        <v>0</v>
      </c>
      <c r="P69" s="548">
        <f t="shared" si="6"/>
        <v>0</v>
      </c>
      <c r="Q69" s="548">
        <f t="shared" si="6"/>
        <v>0</v>
      </c>
      <c r="R69" s="548">
        <v>1238</v>
      </c>
      <c r="S69" s="548">
        <v>333</v>
      </c>
      <c r="T69" s="557">
        <v>1571</v>
      </c>
      <c r="U69" s="801"/>
      <c r="V69" s="801"/>
      <c r="W69" s="801"/>
      <c r="X69" s="801"/>
      <c r="Y69" s="803"/>
      <c r="Z69" s="530">
        <v>862355</v>
      </c>
      <c r="AA69" s="787"/>
      <c r="AB69" s="693">
        <v>862</v>
      </c>
      <c r="AC69" s="790"/>
    </row>
    <row r="70" spans="1:30" ht="29.25" customHeight="1">
      <c r="A70" s="793"/>
      <c r="B70" s="558" t="s">
        <v>254</v>
      </c>
      <c r="C70" s="535"/>
      <c r="D70" s="535"/>
      <c r="E70" s="535"/>
      <c r="F70" s="535"/>
      <c r="G70" s="535"/>
      <c r="H70" s="535"/>
      <c r="I70" s="535"/>
      <c r="J70" s="535"/>
      <c r="K70" s="535"/>
      <c r="L70" s="549">
        <v>2500</v>
      </c>
      <c r="M70" s="549">
        <v>675</v>
      </c>
      <c r="N70" s="548">
        <v>3175</v>
      </c>
      <c r="O70" s="548">
        <f t="shared" si="6"/>
        <v>0</v>
      </c>
      <c r="P70" s="548">
        <f t="shared" si="6"/>
        <v>0</v>
      </c>
      <c r="Q70" s="548">
        <f t="shared" si="6"/>
        <v>0</v>
      </c>
      <c r="R70" s="549">
        <v>2500</v>
      </c>
      <c r="S70" s="549">
        <v>675</v>
      </c>
      <c r="T70" s="557">
        <v>3175</v>
      </c>
      <c r="U70" s="801"/>
      <c r="V70" s="801"/>
      <c r="W70" s="801"/>
      <c r="X70" s="801"/>
      <c r="Y70" s="803"/>
      <c r="Z70" s="530">
        <v>3174365</v>
      </c>
      <c r="AA70" s="787"/>
      <c r="AB70" s="693">
        <v>3174</v>
      </c>
      <c r="AC70" s="790"/>
    </row>
    <row r="71" spans="1:30" ht="29.25" customHeight="1">
      <c r="A71" s="793"/>
      <c r="B71" s="558" t="s">
        <v>253</v>
      </c>
      <c r="C71" s="535"/>
      <c r="D71" s="535"/>
      <c r="E71" s="535"/>
      <c r="F71" s="535"/>
      <c r="G71" s="535"/>
      <c r="H71" s="535"/>
      <c r="I71" s="535"/>
      <c r="J71" s="535"/>
      <c r="K71" s="535"/>
      <c r="L71" s="549">
        <v>1628</v>
      </c>
      <c r="M71" s="549">
        <v>439.56</v>
      </c>
      <c r="N71" s="548">
        <v>2067.56</v>
      </c>
      <c r="O71" s="548">
        <f t="shared" si="6"/>
        <v>0</v>
      </c>
      <c r="P71" s="548">
        <f t="shared" si="6"/>
        <v>0</v>
      </c>
      <c r="Q71" s="548">
        <f t="shared" si="6"/>
        <v>0.44000000000005457</v>
      </c>
      <c r="R71" s="549">
        <v>1628</v>
      </c>
      <c r="S71" s="549">
        <v>439.56</v>
      </c>
      <c r="T71" s="557">
        <v>2068</v>
      </c>
      <c r="U71" s="801"/>
      <c r="V71" s="801"/>
      <c r="W71" s="801"/>
      <c r="X71" s="801"/>
      <c r="Y71" s="803"/>
      <c r="Z71" s="530">
        <v>0</v>
      </c>
      <c r="AA71" s="787"/>
      <c r="AB71" s="693">
        <v>0</v>
      </c>
      <c r="AC71" s="790"/>
    </row>
    <row r="72" spans="1:30" ht="29.25" customHeight="1">
      <c r="A72" s="793"/>
      <c r="B72" s="558" t="s">
        <v>252</v>
      </c>
      <c r="C72" s="535"/>
      <c r="D72" s="535"/>
      <c r="E72" s="535"/>
      <c r="F72" s="535"/>
      <c r="G72" s="535"/>
      <c r="H72" s="535"/>
      <c r="I72" s="535"/>
      <c r="J72" s="535"/>
      <c r="K72" s="535"/>
      <c r="L72" s="549">
        <v>1500</v>
      </c>
      <c r="M72" s="549">
        <v>405</v>
      </c>
      <c r="N72" s="548">
        <v>1905</v>
      </c>
      <c r="O72" s="548">
        <f t="shared" si="6"/>
        <v>0</v>
      </c>
      <c r="P72" s="548">
        <f t="shared" si="6"/>
        <v>0</v>
      </c>
      <c r="Q72" s="548">
        <f t="shared" si="6"/>
        <v>0</v>
      </c>
      <c r="R72" s="549">
        <v>1500</v>
      </c>
      <c r="S72" s="549">
        <v>405</v>
      </c>
      <c r="T72" s="557">
        <v>1905</v>
      </c>
      <c r="U72" s="801"/>
      <c r="V72" s="801"/>
      <c r="W72" s="801"/>
      <c r="X72" s="801"/>
      <c r="Y72" s="803"/>
      <c r="Z72" s="530">
        <v>2067306</v>
      </c>
      <c r="AA72" s="787"/>
      <c r="AB72" s="693">
        <v>2067</v>
      </c>
      <c r="AC72" s="790"/>
    </row>
    <row r="73" spans="1:30" ht="30" customHeight="1">
      <c r="A73" s="793"/>
      <c r="B73" s="559" t="s">
        <v>647</v>
      </c>
      <c r="C73" s="535"/>
      <c r="D73" s="535"/>
      <c r="E73" s="535"/>
      <c r="F73" s="535"/>
      <c r="G73" s="535"/>
      <c r="H73" s="535"/>
      <c r="I73" s="535"/>
      <c r="J73" s="535"/>
      <c r="K73" s="535"/>
      <c r="L73" s="560"/>
      <c r="M73" s="560"/>
      <c r="N73" s="560"/>
      <c r="O73" s="548">
        <f t="shared" si="6"/>
        <v>595</v>
      </c>
      <c r="P73" s="548">
        <f t="shared" si="6"/>
        <v>161</v>
      </c>
      <c r="Q73" s="548">
        <f t="shared" si="6"/>
        <v>756</v>
      </c>
      <c r="R73" s="549">
        <v>595</v>
      </c>
      <c r="S73" s="549">
        <v>161</v>
      </c>
      <c r="T73" s="557">
        <v>756</v>
      </c>
      <c r="U73" s="801"/>
      <c r="V73" s="801"/>
      <c r="W73" s="801"/>
      <c r="X73" s="801"/>
      <c r="Y73" s="803"/>
      <c r="Z73" s="530">
        <v>755777</v>
      </c>
      <c r="AA73" s="787"/>
      <c r="AB73" s="693">
        <v>756</v>
      </c>
      <c r="AC73" s="790"/>
    </row>
    <row r="74" spans="1:30" ht="30" customHeight="1">
      <c r="A74" s="793"/>
      <c r="B74" s="559" t="s">
        <v>648</v>
      </c>
      <c r="C74" s="535"/>
      <c r="D74" s="535"/>
      <c r="E74" s="535"/>
      <c r="F74" s="535"/>
      <c r="G74" s="535"/>
      <c r="H74" s="535"/>
      <c r="I74" s="535"/>
      <c r="J74" s="535"/>
      <c r="K74" s="535"/>
      <c r="L74" s="561"/>
      <c r="M74" s="561"/>
      <c r="N74" s="561"/>
      <c r="O74" s="549">
        <f t="shared" si="6"/>
        <v>1196</v>
      </c>
      <c r="P74" s="549">
        <f t="shared" si="6"/>
        <v>323</v>
      </c>
      <c r="Q74" s="549">
        <f t="shared" si="6"/>
        <v>1519</v>
      </c>
      <c r="R74" s="549">
        <v>1196</v>
      </c>
      <c r="S74" s="549">
        <v>323</v>
      </c>
      <c r="T74" s="557">
        <v>1519</v>
      </c>
      <c r="U74" s="801"/>
      <c r="V74" s="801"/>
      <c r="W74" s="801"/>
      <c r="X74" s="801"/>
      <c r="Y74" s="803"/>
      <c r="Z74" s="530">
        <v>1519288</v>
      </c>
      <c r="AA74" s="787"/>
      <c r="AB74" s="693">
        <v>1519</v>
      </c>
      <c r="AC74" s="790"/>
    </row>
    <row r="75" spans="1:30" ht="29.25" customHeight="1">
      <c r="A75" s="793"/>
      <c r="B75" s="559" t="s">
        <v>251</v>
      </c>
      <c r="C75" s="535">
        <v>16750</v>
      </c>
      <c r="D75" s="535">
        <v>4522.5</v>
      </c>
      <c r="E75" s="535">
        <v>21273</v>
      </c>
      <c r="F75" s="535">
        <f t="shared" ref="F75:H85" si="7">I75-C75</f>
        <v>0</v>
      </c>
      <c r="G75" s="535">
        <f t="shared" si="7"/>
        <v>0</v>
      </c>
      <c r="H75" s="535">
        <f t="shared" si="7"/>
        <v>-0.5</v>
      </c>
      <c r="I75" s="535">
        <v>16750</v>
      </c>
      <c r="J75" s="535">
        <v>4522.5</v>
      </c>
      <c r="K75" s="535">
        <v>21272.5</v>
      </c>
      <c r="L75" s="549"/>
      <c r="M75" s="549"/>
      <c r="N75" s="549"/>
      <c r="O75" s="548"/>
      <c r="P75" s="548"/>
      <c r="Q75" s="548"/>
      <c r="R75" s="562"/>
      <c r="S75" s="562"/>
      <c r="T75" s="562"/>
      <c r="U75" s="801"/>
      <c r="V75" s="801"/>
      <c r="W75" s="801"/>
      <c r="X75" s="801"/>
      <c r="Y75" s="803"/>
      <c r="Z75" s="530">
        <v>1206500</v>
      </c>
      <c r="AA75" s="787"/>
      <c r="AB75" s="693">
        <v>1207</v>
      </c>
      <c r="AC75" s="790"/>
    </row>
    <row r="76" spans="1:30" ht="32.25" customHeight="1">
      <c r="A76" s="793"/>
      <c r="B76" s="559" t="s">
        <v>649</v>
      </c>
      <c r="C76" s="535"/>
      <c r="D76" s="535"/>
      <c r="E76" s="535"/>
      <c r="F76" s="535">
        <f t="shared" si="7"/>
        <v>400</v>
      </c>
      <c r="G76" s="535">
        <f t="shared" si="7"/>
        <v>108</v>
      </c>
      <c r="H76" s="535">
        <f t="shared" si="7"/>
        <v>508</v>
      </c>
      <c r="I76" s="535">
        <v>400</v>
      </c>
      <c r="J76" s="535">
        <v>108</v>
      </c>
      <c r="K76" s="535">
        <v>508</v>
      </c>
      <c r="L76" s="561"/>
      <c r="M76" s="561"/>
      <c r="N76" s="561"/>
      <c r="O76" s="561"/>
      <c r="P76" s="561"/>
      <c r="Q76" s="561"/>
      <c r="R76" s="561"/>
      <c r="S76" s="561"/>
      <c r="T76" s="561"/>
      <c r="U76" s="801"/>
      <c r="V76" s="801"/>
      <c r="W76" s="801"/>
      <c r="X76" s="801"/>
      <c r="Y76" s="803"/>
      <c r="Z76" s="530">
        <v>508000</v>
      </c>
      <c r="AA76" s="787"/>
      <c r="AB76" s="693">
        <v>508</v>
      </c>
      <c r="AC76" s="790"/>
    </row>
    <row r="77" spans="1:30" ht="27.75" customHeight="1">
      <c r="A77" s="793"/>
      <c r="B77" s="559" t="s">
        <v>650</v>
      </c>
      <c r="C77" s="535"/>
      <c r="D77" s="535"/>
      <c r="E77" s="535"/>
      <c r="F77" s="535">
        <f t="shared" si="7"/>
        <v>7500</v>
      </c>
      <c r="G77" s="535">
        <f t="shared" si="7"/>
        <v>2025</v>
      </c>
      <c r="H77" s="535">
        <f t="shared" si="7"/>
        <v>9525</v>
      </c>
      <c r="I77" s="535">
        <v>7500</v>
      </c>
      <c r="J77" s="535">
        <v>2025</v>
      </c>
      <c r="K77" s="535">
        <v>9525</v>
      </c>
      <c r="L77" s="561"/>
      <c r="M77" s="561"/>
      <c r="N77" s="561"/>
      <c r="O77" s="561"/>
      <c r="P77" s="561"/>
      <c r="Q77" s="561"/>
      <c r="R77" s="561"/>
      <c r="S77" s="561"/>
      <c r="T77" s="561"/>
      <c r="U77" s="801"/>
      <c r="V77" s="801"/>
      <c r="W77" s="801"/>
      <c r="X77" s="801"/>
      <c r="Y77" s="803"/>
      <c r="Z77" s="530">
        <v>9525000</v>
      </c>
      <c r="AA77" s="787"/>
      <c r="AB77" s="693">
        <v>9525</v>
      </c>
      <c r="AC77" s="790"/>
      <c r="AD77" s="633"/>
    </row>
    <row r="78" spans="1:30" ht="24">
      <c r="A78" s="793"/>
      <c r="B78" s="545" t="s">
        <v>651</v>
      </c>
      <c r="C78" s="533"/>
      <c r="D78" s="533"/>
      <c r="E78" s="533"/>
      <c r="F78" s="535">
        <f t="shared" si="7"/>
        <v>94</v>
      </c>
      <c r="G78" s="535">
        <f t="shared" si="7"/>
        <v>0</v>
      </c>
      <c r="H78" s="535">
        <f t="shared" si="7"/>
        <v>94</v>
      </c>
      <c r="I78" s="533">
        <v>94</v>
      </c>
      <c r="J78" s="533"/>
      <c r="K78" s="533">
        <v>94</v>
      </c>
      <c r="L78" s="533"/>
      <c r="M78" s="533"/>
      <c r="N78" s="533"/>
      <c r="O78" s="533"/>
      <c r="P78" s="533"/>
      <c r="Q78" s="533"/>
      <c r="R78" s="533"/>
      <c r="S78" s="533"/>
      <c r="T78" s="533"/>
      <c r="U78" s="801"/>
      <c r="V78" s="801"/>
      <c r="W78" s="801"/>
      <c r="X78" s="801"/>
      <c r="Y78" s="803"/>
      <c r="Z78" s="530">
        <v>93700</v>
      </c>
      <c r="AA78" s="787"/>
      <c r="AB78" s="693">
        <v>94</v>
      </c>
      <c r="AC78" s="790"/>
    </row>
    <row r="79" spans="1:30" ht="24">
      <c r="A79" s="793"/>
      <c r="B79" s="545" t="s">
        <v>652</v>
      </c>
      <c r="C79" s="533"/>
      <c r="D79" s="533"/>
      <c r="E79" s="533"/>
      <c r="F79" s="535">
        <f t="shared" si="7"/>
        <v>4000</v>
      </c>
      <c r="G79" s="535">
        <f t="shared" si="7"/>
        <v>1080</v>
      </c>
      <c r="H79" s="535">
        <f t="shared" si="7"/>
        <v>5080</v>
      </c>
      <c r="I79" s="533">
        <v>4000</v>
      </c>
      <c r="J79" s="533">
        <v>1080</v>
      </c>
      <c r="K79" s="533">
        <v>5080</v>
      </c>
      <c r="L79" s="563"/>
      <c r="M79" s="563"/>
      <c r="N79" s="563"/>
      <c r="O79" s="563"/>
      <c r="P79" s="563"/>
      <c r="Q79" s="563"/>
      <c r="R79" s="563"/>
      <c r="S79" s="563"/>
      <c r="T79" s="563"/>
      <c r="U79" s="801"/>
      <c r="V79" s="801"/>
      <c r="W79" s="801"/>
      <c r="X79" s="801"/>
      <c r="Y79" s="803"/>
      <c r="Z79" s="530">
        <v>5080000</v>
      </c>
      <c r="AA79" s="787"/>
      <c r="AB79" s="693">
        <v>5080</v>
      </c>
      <c r="AC79" s="790"/>
    </row>
    <row r="80" spans="1:30" ht="39.75" customHeight="1">
      <c r="A80" s="793"/>
      <c r="B80" s="564" t="s">
        <v>653</v>
      </c>
      <c r="C80" s="533"/>
      <c r="D80" s="533"/>
      <c r="E80" s="533"/>
      <c r="F80" s="535">
        <f t="shared" si="7"/>
        <v>31</v>
      </c>
      <c r="G80" s="535">
        <f t="shared" si="7"/>
        <v>0</v>
      </c>
      <c r="H80" s="535">
        <f t="shared" si="7"/>
        <v>31</v>
      </c>
      <c r="I80" s="533">
        <v>31</v>
      </c>
      <c r="J80" s="533"/>
      <c r="K80" s="533">
        <v>31</v>
      </c>
      <c r="L80" s="563"/>
      <c r="M80" s="563"/>
      <c r="N80" s="563"/>
      <c r="O80" s="563"/>
      <c r="P80" s="563"/>
      <c r="Q80" s="563"/>
      <c r="R80" s="563"/>
      <c r="S80" s="563"/>
      <c r="T80" s="563"/>
      <c r="U80" s="801"/>
      <c r="V80" s="801"/>
      <c r="W80" s="801"/>
      <c r="X80" s="801"/>
      <c r="Y80" s="803"/>
      <c r="Z80" s="565">
        <v>30700</v>
      </c>
      <c r="AA80" s="787"/>
      <c r="AB80" s="693">
        <v>31</v>
      </c>
      <c r="AC80" s="790"/>
    </row>
    <row r="81" spans="1:30" ht="37.5" customHeight="1">
      <c r="A81" s="793"/>
      <c r="B81" s="564" t="s">
        <v>654</v>
      </c>
      <c r="C81" s="533"/>
      <c r="D81" s="533"/>
      <c r="E81" s="533"/>
      <c r="F81" s="535">
        <f t="shared" si="7"/>
        <v>210</v>
      </c>
      <c r="G81" s="535">
        <f t="shared" si="7"/>
        <v>0</v>
      </c>
      <c r="H81" s="535">
        <f t="shared" si="7"/>
        <v>210</v>
      </c>
      <c r="I81" s="533">
        <v>210</v>
      </c>
      <c r="J81" s="533"/>
      <c r="K81" s="533">
        <v>210</v>
      </c>
      <c r="L81" s="563"/>
      <c r="M81" s="563"/>
      <c r="N81" s="563"/>
      <c r="O81" s="563"/>
      <c r="P81" s="563"/>
      <c r="Q81" s="563"/>
      <c r="R81" s="563"/>
      <c r="S81" s="563"/>
      <c r="T81" s="563"/>
      <c r="U81" s="801"/>
      <c r="V81" s="801"/>
      <c r="W81" s="801"/>
      <c r="X81" s="801"/>
      <c r="Y81" s="803"/>
      <c r="Z81" s="565">
        <v>210200</v>
      </c>
      <c r="AA81" s="787"/>
      <c r="AB81" s="693">
        <v>210</v>
      </c>
      <c r="AC81" s="790"/>
    </row>
    <row r="82" spans="1:30" ht="30.75" customHeight="1">
      <c r="A82" s="793"/>
      <c r="B82" s="564" t="s">
        <v>655</v>
      </c>
      <c r="C82" s="533"/>
      <c r="D82" s="533"/>
      <c r="E82" s="533"/>
      <c r="F82" s="535">
        <f t="shared" si="7"/>
        <v>250</v>
      </c>
      <c r="G82" s="535">
        <f t="shared" si="7"/>
        <v>0</v>
      </c>
      <c r="H82" s="535">
        <f t="shared" si="7"/>
        <v>250</v>
      </c>
      <c r="I82" s="533">
        <v>250</v>
      </c>
      <c r="J82" s="533"/>
      <c r="K82" s="533">
        <v>250</v>
      </c>
      <c r="L82" s="563"/>
      <c r="M82" s="563"/>
      <c r="N82" s="563"/>
      <c r="O82" s="563"/>
      <c r="P82" s="563"/>
      <c r="Q82" s="563"/>
      <c r="R82" s="563"/>
      <c r="S82" s="563"/>
      <c r="T82" s="563"/>
      <c r="U82" s="801"/>
      <c r="V82" s="801"/>
      <c r="W82" s="801"/>
      <c r="X82" s="801"/>
      <c r="Y82" s="803"/>
      <c r="Z82" s="565">
        <v>250000</v>
      </c>
      <c r="AA82" s="787"/>
      <c r="AB82" s="693">
        <v>250</v>
      </c>
      <c r="AC82" s="790"/>
    </row>
    <row r="83" spans="1:30" ht="24">
      <c r="A83" s="793"/>
      <c r="B83" s="564" t="s">
        <v>656</v>
      </c>
      <c r="C83" s="533"/>
      <c r="D83" s="533"/>
      <c r="E83" s="533"/>
      <c r="F83" s="535">
        <f t="shared" si="7"/>
        <v>675</v>
      </c>
      <c r="G83" s="535">
        <f t="shared" si="7"/>
        <v>0</v>
      </c>
      <c r="H83" s="535">
        <f t="shared" si="7"/>
        <v>675</v>
      </c>
      <c r="I83" s="533">
        <v>675</v>
      </c>
      <c r="J83" s="533"/>
      <c r="K83" s="533">
        <v>675</v>
      </c>
      <c r="L83" s="563"/>
      <c r="M83" s="563"/>
      <c r="N83" s="563"/>
      <c r="O83" s="563"/>
      <c r="P83" s="563"/>
      <c r="Q83" s="563"/>
      <c r="R83" s="563"/>
      <c r="S83" s="563"/>
      <c r="T83" s="563"/>
      <c r="U83" s="801"/>
      <c r="V83" s="801"/>
      <c r="W83" s="801"/>
      <c r="X83" s="801"/>
      <c r="Y83" s="803"/>
      <c r="Z83" s="565">
        <v>675000</v>
      </c>
      <c r="AA83" s="787"/>
      <c r="AB83" s="693">
        <v>675</v>
      </c>
      <c r="AC83" s="790"/>
    </row>
    <row r="84" spans="1:30" ht="36">
      <c r="A84" s="793"/>
      <c r="B84" s="564" t="s">
        <v>657</v>
      </c>
      <c r="C84" s="533"/>
      <c r="D84" s="533"/>
      <c r="E84" s="533"/>
      <c r="F84" s="535">
        <f t="shared" si="7"/>
        <v>50</v>
      </c>
      <c r="G84" s="535">
        <f t="shared" si="7"/>
        <v>0</v>
      </c>
      <c r="H84" s="535">
        <f t="shared" si="7"/>
        <v>50</v>
      </c>
      <c r="I84" s="533">
        <v>50</v>
      </c>
      <c r="J84" s="533"/>
      <c r="K84" s="533">
        <v>50</v>
      </c>
      <c r="L84" s="563"/>
      <c r="M84" s="563"/>
      <c r="N84" s="563"/>
      <c r="O84" s="563"/>
      <c r="P84" s="563"/>
      <c r="Q84" s="563"/>
      <c r="R84" s="563"/>
      <c r="S84" s="563"/>
      <c r="T84" s="563"/>
      <c r="U84" s="801"/>
      <c r="V84" s="801"/>
      <c r="W84" s="801"/>
      <c r="X84" s="801"/>
      <c r="Y84" s="803"/>
      <c r="Z84" s="565">
        <v>50000</v>
      </c>
      <c r="AA84" s="787"/>
      <c r="AB84" s="693">
        <v>50</v>
      </c>
      <c r="AC84" s="790"/>
    </row>
    <row r="85" spans="1:30" ht="29.25" customHeight="1" thickBot="1">
      <c r="A85" s="794"/>
      <c r="B85" s="566" t="s">
        <v>658</v>
      </c>
      <c r="C85" s="538"/>
      <c r="D85" s="538"/>
      <c r="E85" s="538"/>
      <c r="F85" s="538">
        <f t="shared" si="7"/>
        <v>15</v>
      </c>
      <c r="G85" s="538">
        <f t="shared" si="7"/>
        <v>0</v>
      </c>
      <c r="H85" s="538">
        <f t="shared" si="7"/>
        <v>15</v>
      </c>
      <c r="I85" s="538">
        <v>15</v>
      </c>
      <c r="J85" s="538"/>
      <c r="K85" s="538">
        <v>15</v>
      </c>
      <c r="L85" s="567"/>
      <c r="M85" s="567"/>
      <c r="N85" s="567"/>
      <c r="O85" s="567"/>
      <c r="P85" s="567"/>
      <c r="Q85" s="567"/>
      <c r="R85" s="567"/>
      <c r="S85" s="567"/>
      <c r="T85" s="567"/>
      <c r="U85" s="783"/>
      <c r="V85" s="783"/>
      <c r="W85" s="783"/>
      <c r="X85" s="783"/>
      <c r="Y85" s="785"/>
      <c r="Z85" s="565">
        <v>15000</v>
      </c>
      <c r="AA85" s="787"/>
      <c r="AB85" s="694">
        <v>15</v>
      </c>
      <c r="AC85" s="791"/>
    </row>
    <row r="86" spans="1:30" ht="29.25" customHeight="1">
      <c r="A86" s="793" t="s">
        <v>250</v>
      </c>
      <c r="B86" s="568" t="s">
        <v>249</v>
      </c>
      <c r="C86" s="569"/>
      <c r="D86" s="569"/>
      <c r="E86" s="569"/>
      <c r="F86" s="569"/>
      <c r="G86" s="569"/>
      <c r="H86" s="569"/>
      <c r="I86" s="569"/>
      <c r="J86" s="569"/>
      <c r="K86" s="569"/>
      <c r="L86" s="569">
        <v>1300</v>
      </c>
      <c r="M86" s="569">
        <v>351</v>
      </c>
      <c r="N86" s="569">
        <v>1651</v>
      </c>
      <c r="O86" s="569">
        <f t="shared" ref="O86:Q92" si="8">R86-L86</f>
        <v>0</v>
      </c>
      <c r="P86" s="569">
        <f t="shared" si="8"/>
        <v>0</v>
      </c>
      <c r="Q86" s="569">
        <f t="shared" si="8"/>
        <v>0</v>
      </c>
      <c r="R86" s="569">
        <v>1300</v>
      </c>
      <c r="S86" s="569">
        <v>351</v>
      </c>
      <c r="T86" s="569">
        <v>1651</v>
      </c>
      <c r="U86" s="801">
        <f>SUM(E86:E92)</f>
        <v>0</v>
      </c>
      <c r="V86" s="801">
        <f>SUM(K86:K92)</f>
        <v>0</v>
      </c>
      <c r="W86" s="802">
        <f>SUM(N86:N92)</f>
        <v>7493</v>
      </c>
      <c r="X86" s="801">
        <f>SUM(T86:T92)</f>
        <v>16508</v>
      </c>
      <c r="Y86" s="784">
        <f>SUM(X86,V86)</f>
        <v>16508</v>
      </c>
      <c r="Z86" s="530">
        <v>772063</v>
      </c>
      <c r="AA86" s="798">
        <f>SUM(Z86:Z92)</f>
        <v>10329389</v>
      </c>
      <c r="AB86" s="692">
        <v>772</v>
      </c>
      <c r="AC86" s="789">
        <f>SUM(AB86:AB92)</f>
        <v>10329</v>
      </c>
    </row>
    <row r="87" spans="1:30" ht="29.25" customHeight="1">
      <c r="A87" s="793"/>
      <c r="B87" s="570" t="s">
        <v>248</v>
      </c>
      <c r="C87" s="535"/>
      <c r="D87" s="535"/>
      <c r="E87" s="535"/>
      <c r="F87" s="535"/>
      <c r="G87" s="535"/>
      <c r="H87" s="535"/>
      <c r="I87" s="535"/>
      <c r="J87" s="535"/>
      <c r="K87" s="535"/>
      <c r="L87" s="535">
        <v>2000</v>
      </c>
      <c r="M87" s="535">
        <v>540</v>
      </c>
      <c r="N87" s="535">
        <v>2540</v>
      </c>
      <c r="O87" s="535">
        <f t="shared" si="8"/>
        <v>0</v>
      </c>
      <c r="P87" s="535">
        <f t="shared" si="8"/>
        <v>0</v>
      </c>
      <c r="Q87" s="535">
        <f t="shared" si="8"/>
        <v>0</v>
      </c>
      <c r="R87" s="535">
        <v>2000</v>
      </c>
      <c r="S87" s="535">
        <v>540</v>
      </c>
      <c r="T87" s="535">
        <v>2540</v>
      </c>
      <c r="U87" s="801"/>
      <c r="V87" s="801"/>
      <c r="W87" s="802"/>
      <c r="X87" s="801"/>
      <c r="Y87" s="803"/>
      <c r="Z87" s="530">
        <v>437326</v>
      </c>
      <c r="AA87" s="787"/>
      <c r="AB87" s="693">
        <v>437</v>
      </c>
      <c r="AC87" s="790"/>
    </row>
    <row r="88" spans="1:30" ht="20.25" customHeight="1">
      <c r="A88" s="793"/>
      <c r="B88" s="571" t="s">
        <v>247</v>
      </c>
      <c r="C88" s="535"/>
      <c r="D88" s="535"/>
      <c r="E88" s="535"/>
      <c r="F88" s="535"/>
      <c r="G88" s="535"/>
      <c r="H88" s="535"/>
      <c r="I88" s="535"/>
      <c r="J88" s="535"/>
      <c r="K88" s="535"/>
      <c r="L88" s="535">
        <v>800</v>
      </c>
      <c r="M88" s="535">
        <v>216</v>
      </c>
      <c r="N88" s="535">
        <v>1016</v>
      </c>
      <c r="O88" s="535">
        <f t="shared" si="8"/>
        <v>0</v>
      </c>
      <c r="P88" s="535">
        <f t="shared" si="8"/>
        <v>0</v>
      </c>
      <c r="Q88" s="535">
        <f t="shared" si="8"/>
        <v>0</v>
      </c>
      <c r="R88" s="535">
        <v>800</v>
      </c>
      <c r="S88" s="535">
        <v>216</v>
      </c>
      <c r="T88" s="535">
        <v>1016</v>
      </c>
      <c r="U88" s="801"/>
      <c r="V88" s="801"/>
      <c r="W88" s="802"/>
      <c r="X88" s="801"/>
      <c r="Y88" s="803"/>
      <c r="Z88" s="530">
        <v>0</v>
      </c>
      <c r="AA88" s="787"/>
      <c r="AB88" s="693">
        <v>0</v>
      </c>
      <c r="AC88" s="790"/>
      <c r="AD88" s="633"/>
    </row>
    <row r="89" spans="1:30">
      <c r="A89" s="793"/>
      <c r="B89" s="545" t="s">
        <v>659</v>
      </c>
      <c r="C89" s="533"/>
      <c r="D89" s="533"/>
      <c r="E89" s="533"/>
      <c r="F89" s="533"/>
      <c r="G89" s="533"/>
      <c r="H89" s="533"/>
      <c r="I89" s="533"/>
      <c r="J89" s="533"/>
      <c r="K89" s="533"/>
      <c r="L89" s="533"/>
      <c r="M89" s="533"/>
      <c r="N89" s="533"/>
      <c r="O89" s="533">
        <f t="shared" si="8"/>
        <v>5606</v>
      </c>
      <c r="P89" s="533">
        <f t="shared" si="8"/>
        <v>1514</v>
      </c>
      <c r="Q89" s="533">
        <f t="shared" si="8"/>
        <v>7120</v>
      </c>
      <c r="R89" s="533">
        <v>5606</v>
      </c>
      <c r="S89" s="533">
        <v>1514</v>
      </c>
      <c r="T89" s="533">
        <v>7120</v>
      </c>
      <c r="U89" s="801"/>
      <c r="V89" s="801"/>
      <c r="W89" s="802"/>
      <c r="X89" s="801"/>
      <c r="Y89" s="803"/>
      <c r="Z89" s="530">
        <v>7120000</v>
      </c>
      <c r="AA89" s="787"/>
      <c r="AB89" s="693">
        <v>7120</v>
      </c>
      <c r="AC89" s="790"/>
      <c r="AD89" s="633"/>
    </row>
    <row r="90" spans="1:30" ht="24">
      <c r="A90" s="793"/>
      <c r="B90" s="545" t="s">
        <v>660</v>
      </c>
      <c r="C90" s="533"/>
      <c r="D90" s="533"/>
      <c r="E90" s="533"/>
      <c r="F90" s="533"/>
      <c r="G90" s="533"/>
      <c r="H90" s="533"/>
      <c r="I90" s="533"/>
      <c r="J90" s="533"/>
      <c r="K90" s="533"/>
      <c r="L90" s="533"/>
      <c r="M90" s="533"/>
      <c r="N90" s="533"/>
      <c r="O90" s="533">
        <f t="shared" si="8"/>
        <v>917</v>
      </c>
      <c r="P90" s="533">
        <f t="shared" si="8"/>
        <v>248</v>
      </c>
      <c r="Q90" s="533">
        <f t="shared" si="8"/>
        <v>1165</v>
      </c>
      <c r="R90" s="533">
        <v>917</v>
      </c>
      <c r="S90" s="533">
        <v>248</v>
      </c>
      <c r="T90" s="533">
        <v>1165</v>
      </c>
      <c r="U90" s="801"/>
      <c r="V90" s="801"/>
      <c r="W90" s="802"/>
      <c r="X90" s="801"/>
      <c r="Y90" s="803"/>
      <c r="Z90" s="530">
        <v>0</v>
      </c>
      <c r="AA90" s="787"/>
      <c r="AB90" s="693">
        <v>0</v>
      </c>
      <c r="AC90" s="790"/>
    </row>
    <row r="91" spans="1:30" ht="24.75" customHeight="1">
      <c r="A91" s="793"/>
      <c r="B91" s="571" t="s">
        <v>246</v>
      </c>
      <c r="C91" s="533"/>
      <c r="D91" s="533"/>
      <c r="E91" s="533"/>
      <c r="F91" s="533"/>
      <c r="G91" s="533"/>
      <c r="H91" s="533"/>
      <c r="I91" s="533"/>
      <c r="J91" s="533"/>
      <c r="K91" s="533"/>
      <c r="L91" s="533">
        <v>1800</v>
      </c>
      <c r="M91" s="533">
        <v>486.00000000000006</v>
      </c>
      <c r="N91" s="533">
        <v>2286</v>
      </c>
      <c r="O91" s="533">
        <f t="shared" si="8"/>
        <v>-1000</v>
      </c>
      <c r="P91" s="533">
        <f t="shared" si="8"/>
        <v>-270.00000000000006</v>
      </c>
      <c r="Q91" s="533">
        <f t="shared" si="8"/>
        <v>-1270</v>
      </c>
      <c r="R91" s="533">
        <v>800</v>
      </c>
      <c r="S91" s="533">
        <v>216</v>
      </c>
      <c r="T91" s="533">
        <v>1016</v>
      </c>
      <c r="U91" s="801"/>
      <c r="V91" s="801"/>
      <c r="W91" s="802"/>
      <c r="X91" s="801"/>
      <c r="Y91" s="803"/>
      <c r="Z91" s="530">
        <v>0</v>
      </c>
      <c r="AA91" s="787"/>
      <c r="AB91" s="693">
        <v>0</v>
      </c>
      <c r="AC91" s="790"/>
    </row>
    <row r="92" spans="1:30" ht="12.6" thickBot="1">
      <c r="A92" s="794"/>
      <c r="B92" s="572" t="s">
        <v>661</v>
      </c>
      <c r="C92" s="538"/>
      <c r="D92" s="538"/>
      <c r="E92" s="538"/>
      <c r="F92" s="538"/>
      <c r="G92" s="538"/>
      <c r="H92" s="538"/>
      <c r="I92" s="538"/>
      <c r="J92" s="538"/>
      <c r="K92" s="538"/>
      <c r="L92" s="538"/>
      <c r="M92" s="538"/>
      <c r="N92" s="538"/>
      <c r="O92" s="538">
        <f t="shared" si="8"/>
        <v>2000</v>
      </c>
      <c r="P92" s="538">
        <f t="shared" si="8"/>
        <v>0</v>
      </c>
      <c r="Q92" s="538">
        <f t="shared" si="8"/>
        <v>2000</v>
      </c>
      <c r="R92" s="538">
        <v>2000</v>
      </c>
      <c r="S92" s="538">
        <v>0</v>
      </c>
      <c r="T92" s="538">
        <v>2000</v>
      </c>
      <c r="U92" s="801"/>
      <c r="V92" s="801"/>
      <c r="W92" s="802"/>
      <c r="X92" s="801"/>
      <c r="Y92" s="785"/>
      <c r="Z92" s="530">
        <v>2000000</v>
      </c>
      <c r="AA92" s="787"/>
      <c r="AB92" s="694">
        <v>2000</v>
      </c>
      <c r="AC92" s="791"/>
    </row>
    <row r="93" spans="1:30" ht="31.5" customHeight="1">
      <c r="A93" s="792" t="s">
        <v>245</v>
      </c>
      <c r="B93" s="573" t="s">
        <v>244</v>
      </c>
      <c r="C93" s="554">
        <v>30000</v>
      </c>
      <c r="D93" s="554">
        <v>0</v>
      </c>
      <c r="E93" s="554">
        <v>30000</v>
      </c>
      <c r="F93" s="554">
        <f t="shared" ref="F93:H110" si="9">I93-C93</f>
        <v>7479</v>
      </c>
      <c r="G93" s="554">
        <f t="shared" si="9"/>
        <v>0</v>
      </c>
      <c r="H93" s="554">
        <f t="shared" si="9"/>
        <v>7479</v>
      </c>
      <c r="I93" s="554">
        <v>37479</v>
      </c>
      <c r="J93" s="554">
        <v>0</v>
      </c>
      <c r="K93" s="554">
        <v>37479</v>
      </c>
      <c r="L93" s="554"/>
      <c r="M93" s="554"/>
      <c r="N93" s="554"/>
      <c r="O93" s="554"/>
      <c r="P93" s="554"/>
      <c r="Q93" s="554"/>
      <c r="R93" s="554"/>
      <c r="S93" s="554"/>
      <c r="T93" s="554"/>
      <c r="U93" s="782">
        <f>SUM(E93:E110)</f>
        <v>255681.54</v>
      </c>
      <c r="V93" s="782">
        <f>SUM(K93:K110)</f>
        <v>491111</v>
      </c>
      <c r="W93" s="782">
        <f>SUM(N93:N110)</f>
        <v>0</v>
      </c>
      <c r="X93" s="782">
        <f>SUM(T93:T110)</f>
        <v>0</v>
      </c>
      <c r="Y93" s="782">
        <f>SUM(X93,V93)</f>
        <v>491111</v>
      </c>
      <c r="Z93" s="530">
        <v>18215900</v>
      </c>
      <c r="AA93" s="798">
        <f>SUM(Z93:Z110)</f>
        <v>75770403</v>
      </c>
      <c r="AB93" s="692">
        <v>18216</v>
      </c>
      <c r="AC93" s="789">
        <v>75770</v>
      </c>
    </row>
    <row r="94" spans="1:30" s="575" customFormat="1" ht="31.5" customHeight="1">
      <c r="A94" s="793"/>
      <c r="B94" s="574" t="s">
        <v>243</v>
      </c>
      <c r="C94" s="533">
        <v>80104</v>
      </c>
      <c r="D94" s="533">
        <v>21628.080000000002</v>
      </c>
      <c r="E94" s="533">
        <v>101732.08</v>
      </c>
      <c r="F94" s="533">
        <f t="shared" si="9"/>
        <v>0</v>
      </c>
      <c r="G94" s="533">
        <f t="shared" si="9"/>
        <v>-8.000000000174623E-2</v>
      </c>
      <c r="H94" s="533">
        <f t="shared" si="9"/>
        <v>-8.000000000174623E-2</v>
      </c>
      <c r="I94" s="533">
        <v>80104</v>
      </c>
      <c r="J94" s="533">
        <v>21628</v>
      </c>
      <c r="K94" s="533">
        <v>101732</v>
      </c>
      <c r="L94" s="533"/>
      <c r="M94" s="533"/>
      <c r="N94" s="533"/>
      <c r="O94" s="533"/>
      <c r="P94" s="533"/>
      <c r="Q94" s="533"/>
      <c r="R94" s="533"/>
      <c r="S94" s="533"/>
      <c r="T94" s="533"/>
      <c r="U94" s="801"/>
      <c r="V94" s="801"/>
      <c r="W94" s="801"/>
      <c r="X94" s="801"/>
      <c r="Y94" s="801"/>
      <c r="Z94" s="530">
        <v>0</v>
      </c>
      <c r="AA94" s="787"/>
      <c r="AB94" s="693">
        <v>0</v>
      </c>
      <c r="AC94" s="790"/>
    </row>
    <row r="95" spans="1:30" s="575" customFormat="1" ht="31.5" customHeight="1">
      <c r="A95" s="793"/>
      <c r="B95" s="574" t="s">
        <v>242</v>
      </c>
      <c r="C95" s="533">
        <v>20000</v>
      </c>
      <c r="D95" s="533">
        <v>5400</v>
      </c>
      <c r="E95" s="533">
        <v>25400</v>
      </c>
      <c r="F95" s="533">
        <f t="shared" si="9"/>
        <v>0</v>
      </c>
      <c r="G95" s="533">
        <f t="shared" si="9"/>
        <v>0</v>
      </c>
      <c r="H95" s="533">
        <f t="shared" si="9"/>
        <v>0</v>
      </c>
      <c r="I95" s="533">
        <v>20000</v>
      </c>
      <c r="J95" s="533">
        <v>5400</v>
      </c>
      <c r="K95" s="533">
        <v>25400</v>
      </c>
      <c r="L95" s="533"/>
      <c r="M95" s="533"/>
      <c r="N95" s="533"/>
      <c r="O95" s="533"/>
      <c r="P95" s="533"/>
      <c r="Q95" s="533"/>
      <c r="R95" s="533"/>
      <c r="S95" s="533"/>
      <c r="T95" s="533"/>
      <c r="U95" s="801"/>
      <c r="V95" s="801"/>
      <c r="W95" s="801"/>
      <c r="X95" s="801"/>
      <c r="Y95" s="801"/>
      <c r="Z95" s="530">
        <v>0</v>
      </c>
      <c r="AA95" s="787"/>
      <c r="AB95" s="693">
        <v>0</v>
      </c>
      <c r="AC95" s="790"/>
    </row>
    <row r="96" spans="1:30" s="575" customFormat="1" ht="31.5" customHeight="1">
      <c r="A96" s="793"/>
      <c r="B96" s="532" t="s">
        <v>662</v>
      </c>
      <c r="C96" s="533"/>
      <c r="D96" s="533"/>
      <c r="E96" s="533"/>
      <c r="F96" s="533">
        <f t="shared" si="9"/>
        <v>600</v>
      </c>
      <c r="G96" s="533">
        <f t="shared" si="9"/>
        <v>162</v>
      </c>
      <c r="H96" s="533">
        <f t="shared" si="9"/>
        <v>762</v>
      </c>
      <c r="I96" s="533">
        <v>600</v>
      </c>
      <c r="J96" s="533">
        <v>162</v>
      </c>
      <c r="K96" s="533">
        <v>762</v>
      </c>
      <c r="L96" s="533"/>
      <c r="M96" s="533"/>
      <c r="N96" s="533"/>
      <c r="O96" s="533"/>
      <c r="P96" s="533"/>
      <c r="Q96" s="533"/>
      <c r="R96" s="533"/>
      <c r="S96" s="533"/>
      <c r="T96" s="533"/>
      <c r="U96" s="801"/>
      <c r="V96" s="801"/>
      <c r="W96" s="801"/>
      <c r="X96" s="801"/>
      <c r="Y96" s="801"/>
      <c r="Z96" s="530">
        <v>762000</v>
      </c>
      <c r="AA96" s="787"/>
      <c r="AB96" s="693">
        <v>762</v>
      </c>
      <c r="AC96" s="790"/>
    </row>
    <row r="97" spans="1:30" s="575" customFormat="1" ht="31.5" customHeight="1">
      <c r="A97" s="793"/>
      <c r="B97" s="532" t="s">
        <v>663</v>
      </c>
      <c r="C97" s="533"/>
      <c r="D97" s="533"/>
      <c r="E97" s="533"/>
      <c r="F97" s="533">
        <f t="shared" si="9"/>
        <v>14000</v>
      </c>
      <c r="G97" s="533">
        <f t="shared" si="9"/>
        <v>0</v>
      </c>
      <c r="H97" s="533">
        <f t="shared" si="9"/>
        <v>14000</v>
      </c>
      <c r="I97" s="533">
        <v>14000</v>
      </c>
      <c r="J97" s="533">
        <v>0</v>
      </c>
      <c r="K97" s="533">
        <v>14000</v>
      </c>
      <c r="L97" s="533"/>
      <c r="M97" s="533"/>
      <c r="N97" s="533"/>
      <c r="O97" s="533"/>
      <c r="P97" s="533"/>
      <c r="Q97" s="533"/>
      <c r="R97" s="533"/>
      <c r="S97" s="533"/>
      <c r="T97" s="533"/>
      <c r="U97" s="801"/>
      <c r="V97" s="801"/>
      <c r="W97" s="801"/>
      <c r="X97" s="801"/>
      <c r="Y97" s="801"/>
      <c r="Z97" s="530">
        <v>14000000</v>
      </c>
      <c r="AA97" s="787"/>
      <c r="AB97" s="693">
        <v>14000</v>
      </c>
      <c r="AC97" s="790"/>
    </row>
    <row r="98" spans="1:30" s="575" customFormat="1" ht="31.5" customHeight="1">
      <c r="A98" s="793"/>
      <c r="B98" s="545" t="s">
        <v>664</v>
      </c>
      <c r="C98" s="533"/>
      <c r="D98" s="533"/>
      <c r="E98" s="533"/>
      <c r="F98" s="533">
        <f t="shared" si="9"/>
        <v>26000</v>
      </c>
      <c r="G98" s="533">
        <f t="shared" si="9"/>
        <v>0</v>
      </c>
      <c r="H98" s="533">
        <f t="shared" si="9"/>
        <v>26000</v>
      </c>
      <c r="I98" s="533">
        <v>26000</v>
      </c>
      <c r="J98" s="533">
        <v>0</v>
      </c>
      <c r="K98" s="533">
        <v>26000</v>
      </c>
      <c r="L98" s="533"/>
      <c r="M98" s="533"/>
      <c r="N98" s="533"/>
      <c r="O98" s="533"/>
      <c r="P98" s="533"/>
      <c r="Q98" s="533"/>
      <c r="R98" s="533"/>
      <c r="S98" s="533"/>
      <c r="T98" s="533"/>
      <c r="U98" s="801"/>
      <c r="V98" s="801"/>
      <c r="W98" s="801"/>
      <c r="X98" s="801"/>
      <c r="Y98" s="801"/>
      <c r="Z98" s="530">
        <v>26000000</v>
      </c>
      <c r="AA98" s="787"/>
      <c r="AB98" s="693">
        <v>26000</v>
      </c>
      <c r="AC98" s="790"/>
    </row>
    <row r="99" spans="1:30" s="575" customFormat="1" ht="31.5" customHeight="1">
      <c r="A99" s="793"/>
      <c r="B99" s="576" t="s">
        <v>665</v>
      </c>
      <c r="C99" s="533"/>
      <c r="D99" s="533"/>
      <c r="E99" s="533"/>
      <c r="F99" s="533">
        <f t="shared" si="9"/>
        <v>2088</v>
      </c>
      <c r="G99" s="533">
        <f t="shared" si="9"/>
        <v>0</v>
      </c>
      <c r="H99" s="533">
        <f t="shared" si="9"/>
        <v>2088</v>
      </c>
      <c r="I99" s="533">
        <v>2088</v>
      </c>
      <c r="J99" s="533">
        <v>0</v>
      </c>
      <c r="K99" s="533">
        <v>2088</v>
      </c>
      <c r="L99" s="533"/>
      <c r="M99" s="533"/>
      <c r="N99" s="533"/>
      <c r="O99" s="533"/>
      <c r="P99" s="533"/>
      <c r="Q99" s="533"/>
      <c r="R99" s="533"/>
      <c r="S99" s="533"/>
      <c r="T99" s="533"/>
      <c r="U99" s="801"/>
      <c r="V99" s="801"/>
      <c r="W99" s="801"/>
      <c r="X99" s="801"/>
      <c r="Y99" s="801"/>
      <c r="Z99" s="530">
        <v>0</v>
      </c>
      <c r="AA99" s="787"/>
      <c r="AB99" s="693">
        <v>0</v>
      </c>
      <c r="AC99" s="790"/>
    </row>
    <row r="100" spans="1:30" s="575" customFormat="1" ht="31.5" customHeight="1">
      <c r="A100" s="793"/>
      <c r="B100" s="577" t="s">
        <v>666</v>
      </c>
      <c r="C100" s="533"/>
      <c r="D100" s="533"/>
      <c r="E100" s="533"/>
      <c r="F100" s="533">
        <f t="shared" si="9"/>
        <v>23000</v>
      </c>
      <c r="G100" s="533">
        <f t="shared" si="9"/>
        <v>0</v>
      </c>
      <c r="H100" s="533">
        <f t="shared" si="9"/>
        <v>23000</v>
      </c>
      <c r="I100" s="533">
        <v>23000</v>
      </c>
      <c r="J100" s="533">
        <v>0</v>
      </c>
      <c r="K100" s="533">
        <v>23000</v>
      </c>
      <c r="L100" s="533"/>
      <c r="M100" s="533"/>
      <c r="N100" s="533"/>
      <c r="O100" s="533"/>
      <c r="P100" s="533"/>
      <c r="Q100" s="533"/>
      <c r="R100" s="533"/>
      <c r="S100" s="533"/>
      <c r="T100" s="533"/>
      <c r="U100" s="801"/>
      <c r="V100" s="801"/>
      <c r="W100" s="801"/>
      <c r="X100" s="801"/>
      <c r="Y100" s="801"/>
      <c r="Z100" s="530">
        <v>0</v>
      </c>
      <c r="AA100" s="787"/>
      <c r="AB100" s="693">
        <v>0</v>
      </c>
      <c r="AC100" s="790"/>
    </row>
    <row r="101" spans="1:30" s="575" customFormat="1" ht="43.2" customHeight="1">
      <c r="A101" s="793"/>
      <c r="B101" s="577" t="s">
        <v>667</v>
      </c>
      <c r="C101" s="533"/>
      <c r="D101" s="533"/>
      <c r="E101" s="533"/>
      <c r="F101" s="533">
        <f t="shared" si="9"/>
        <v>15600</v>
      </c>
      <c r="G101" s="533">
        <f t="shared" si="9"/>
        <v>0</v>
      </c>
      <c r="H101" s="533">
        <f t="shared" si="9"/>
        <v>15600</v>
      </c>
      <c r="I101" s="533">
        <v>15600</v>
      </c>
      <c r="J101" s="533">
        <v>0</v>
      </c>
      <c r="K101" s="533">
        <v>15600</v>
      </c>
      <c r="L101" s="533"/>
      <c r="M101" s="533"/>
      <c r="N101" s="533"/>
      <c r="O101" s="533"/>
      <c r="P101" s="533"/>
      <c r="Q101" s="533"/>
      <c r="R101" s="533"/>
      <c r="S101" s="533"/>
      <c r="T101" s="533"/>
      <c r="U101" s="801"/>
      <c r="V101" s="801"/>
      <c r="W101" s="801"/>
      <c r="X101" s="801"/>
      <c r="Y101" s="801"/>
      <c r="Z101" s="530">
        <v>0</v>
      </c>
      <c r="AA101" s="787"/>
      <c r="AB101" s="693">
        <v>0</v>
      </c>
      <c r="AC101" s="790"/>
      <c r="AD101" s="695"/>
    </row>
    <row r="102" spans="1:30" s="575" customFormat="1" ht="31.5" customHeight="1">
      <c r="A102" s="793"/>
      <c r="B102" s="578" t="s">
        <v>668</v>
      </c>
      <c r="C102" s="533"/>
      <c r="D102" s="533"/>
      <c r="E102" s="533"/>
      <c r="F102" s="533">
        <f t="shared" si="9"/>
        <v>102323</v>
      </c>
      <c r="G102" s="533">
        <f t="shared" si="9"/>
        <v>27627</v>
      </c>
      <c r="H102" s="533">
        <f t="shared" si="9"/>
        <v>129950</v>
      </c>
      <c r="I102" s="533">
        <v>102323</v>
      </c>
      <c r="J102" s="533">
        <v>27627</v>
      </c>
      <c r="K102" s="533">
        <v>129950</v>
      </c>
      <c r="L102" s="533"/>
      <c r="M102" s="533"/>
      <c r="N102" s="533"/>
      <c r="O102" s="533"/>
      <c r="P102" s="533"/>
      <c r="Q102" s="533"/>
      <c r="R102" s="533"/>
      <c r="S102" s="533"/>
      <c r="T102" s="533"/>
      <c r="U102" s="801"/>
      <c r="V102" s="801"/>
      <c r="W102" s="801"/>
      <c r="X102" s="801"/>
      <c r="Y102" s="801"/>
      <c r="Z102" s="530">
        <v>0</v>
      </c>
      <c r="AA102" s="787"/>
      <c r="AB102" s="693">
        <v>0</v>
      </c>
      <c r="AC102" s="790"/>
    </row>
    <row r="103" spans="1:30" s="575" customFormat="1" ht="31.5" customHeight="1">
      <c r="A103" s="793"/>
      <c r="B103" s="578" t="s">
        <v>669</v>
      </c>
      <c r="C103" s="533"/>
      <c r="D103" s="533"/>
      <c r="E103" s="533"/>
      <c r="F103" s="533">
        <f t="shared" si="9"/>
        <v>1700</v>
      </c>
      <c r="G103" s="533">
        <f t="shared" si="9"/>
        <v>0</v>
      </c>
      <c r="H103" s="533">
        <f t="shared" si="9"/>
        <v>1700</v>
      </c>
      <c r="I103" s="533">
        <v>1700</v>
      </c>
      <c r="J103" s="533">
        <v>0</v>
      </c>
      <c r="K103" s="533">
        <v>1700</v>
      </c>
      <c r="L103" s="533"/>
      <c r="M103" s="533"/>
      <c r="N103" s="533"/>
      <c r="O103" s="533"/>
      <c r="P103" s="533"/>
      <c r="Q103" s="533"/>
      <c r="R103" s="533"/>
      <c r="S103" s="533"/>
      <c r="T103" s="533"/>
      <c r="U103" s="801"/>
      <c r="V103" s="801"/>
      <c r="W103" s="801"/>
      <c r="X103" s="801"/>
      <c r="Y103" s="801"/>
      <c r="Z103" s="530">
        <v>0</v>
      </c>
      <c r="AA103" s="787"/>
      <c r="AB103" s="693">
        <v>0</v>
      </c>
      <c r="AC103" s="790"/>
    </row>
    <row r="104" spans="1:30" s="575" customFormat="1" ht="31.5" customHeight="1">
      <c r="A104" s="793"/>
      <c r="B104" s="578" t="s">
        <v>670</v>
      </c>
      <c r="C104" s="533"/>
      <c r="D104" s="533"/>
      <c r="E104" s="533"/>
      <c r="F104" s="533">
        <f t="shared" si="9"/>
        <v>1700</v>
      </c>
      <c r="G104" s="533">
        <f t="shared" si="9"/>
        <v>0</v>
      </c>
      <c r="H104" s="533">
        <f t="shared" si="9"/>
        <v>1700</v>
      </c>
      <c r="I104" s="533">
        <v>1700</v>
      </c>
      <c r="J104" s="533">
        <v>0</v>
      </c>
      <c r="K104" s="533">
        <v>1700</v>
      </c>
      <c r="L104" s="533"/>
      <c r="M104" s="533"/>
      <c r="N104" s="533"/>
      <c r="O104" s="533"/>
      <c r="P104" s="533"/>
      <c r="Q104" s="533"/>
      <c r="R104" s="533"/>
      <c r="S104" s="533"/>
      <c r="T104" s="533"/>
      <c r="U104" s="801"/>
      <c r="V104" s="801"/>
      <c r="W104" s="801"/>
      <c r="X104" s="801"/>
      <c r="Y104" s="801"/>
      <c r="Z104" s="530">
        <v>0</v>
      </c>
      <c r="AA104" s="787"/>
      <c r="AB104" s="693">
        <v>0</v>
      </c>
      <c r="AC104" s="790"/>
    </row>
    <row r="105" spans="1:30" s="575" customFormat="1" ht="31.5" customHeight="1">
      <c r="A105" s="793"/>
      <c r="B105" s="574" t="s">
        <v>241</v>
      </c>
      <c r="C105" s="533">
        <v>56850</v>
      </c>
      <c r="D105" s="533">
        <v>15349.500000000002</v>
      </c>
      <c r="E105" s="533">
        <v>72199.5</v>
      </c>
      <c r="F105" s="533">
        <f t="shared" si="9"/>
        <v>0</v>
      </c>
      <c r="G105" s="533">
        <f t="shared" si="9"/>
        <v>0.49999999999818101</v>
      </c>
      <c r="H105" s="533">
        <f t="shared" si="9"/>
        <v>0.5</v>
      </c>
      <c r="I105" s="533">
        <v>56850</v>
      </c>
      <c r="J105" s="533">
        <v>15350</v>
      </c>
      <c r="K105" s="533">
        <v>72200</v>
      </c>
      <c r="L105" s="533"/>
      <c r="M105" s="533"/>
      <c r="N105" s="533"/>
      <c r="O105" s="533"/>
      <c r="P105" s="533"/>
      <c r="Q105" s="533"/>
      <c r="R105" s="533"/>
      <c r="S105" s="533"/>
      <c r="T105" s="533"/>
      <c r="U105" s="801"/>
      <c r="V105" s="801"/>
      <c r="W105" s="801"/>
      <c r="X105" s="801"/>
      <c r="Y105" s="801"/>
      <c r="Z105" s="530">
        <v>0</v>
      </c>
      <c r="AA105" s="787"/>
      <c r="AB105" s="693">
        <v>0</v>
      </c>
      <c r="AC105" s="790"/>
    </row>
    <row r="106" spans="1:30" ht="31.5" customHeight="1">
      <c r="A106" s="793"/>
      <c r="B106" s="574" t="s">
        <v>240</v>
      </c>
      <c r="C106" s="533">
        <v>15748</v>
      </c>
      <c r="D106" s="533">
        <v>4251.96</v>
      </c>
      <c r="E106" s="533">
        <v>19999.96</v>
      </c>
      <c r="F106" s="533">
        <f t="shared" si="9"/>
        <v>0</v>
      </c>
      <c r="G106" s="533">
        <f t="shared" si="9"/>
        <v>0</v>
      </c>
      <c r="H106" s="533">
        <f t="shared" si="9"/>
        <v>4.0000000000873115E-2</v>
      </c>
      <c r="I106" s="533">
        <v>15748</v>
      </c>
      <c r="J106" s="533">
        <v>4251.96</v>
      </c>
      <c r="K106" s="533">
        <v>20000</v>
      </c>
      <c r="L106" s="533"/>
      <c r="M106" s="533"/>
      <c r="N106" s="533"/>
      <c r="O106" s="533"/>
      <c r="P106" s="533"/>
      <c r="Q106" s="533"/>
      <c r="R106" s="533"/>
      <c r="S106" s="533"/>
      <c r="T106" s="533"/>
      <c r="U106" s="801"/>
      <c r="V106" s="801"/>
      <c r="W106" s="801"/>
      <c r="X106" s="801"/>
      <c r="Y106" s="801"/>
      <c r="Z106" s="530">
        <v>0</v>
      </c>
      <c r="AA106" s="787"/>
      <c r="AB106" s="693">
        <v>0</v>
      </c>
      <c r="AC106" s="790"/>
    </row>
    <row r="107" spans="1:30" ht="31.5" customHeight="1">
      <c r="A107" s="793"/>
      <c r="B107" s="545" t="s">
        <v>671</v>
      </c>
      <c r="C107" s="533"/>
      <c r="D107" s="533"/>
      <c r="E107" s="533"/>
      <c r="F107" s="533">
        <f t="shared" si="9"/>
        <v>10039</v>
      </c>
      <c r="G107" s="533">
        <f t="shared" si="9"/>
        <v>2711</v>
      </c>
      <c r="H107" s="533">
        <f t="shared" si="9"/>
        <v>12750</v>
      </c>
      <c r="I107" s="533">
        <v>10039</v>
      </c>
      <c r="J107" s="533">
        <v>2711</v>
      </c>
      <c r="K107" s="533">
        <v>12750</v>
      </c>
      <c r="L107" s="533"/>
      <c r="M107" s="533"/>
      <c r="N107" s="533"/>
      <c r="O107" s="533"/>
      <c r="P107" s="533"/>
      <c r="Q107" s="533"/>
      <c r="R107" s="533"/>
      <c r="S107" s="533"/>
      <c r="T107" s="533"/>
      <c r="U107" s="801"/>
      <c r="V107" s="801"/>
      <c r="W107" s="801"/>
      <c r="X107" s="801"/>
      <c r="Y107" s="801"/>
      <c r="Z107" s="530">
        <v>12750000</v>
      </c>
      <c r="AA107" s="787"/>
      <c r="AB107" s="693">
        <v>12750</v>
      </c>
      <c r="AC107" s="790"/>
    </row>
    <row r="108" spans="1:30" ht="31.5" customHeight="1">
      <c r="A108" s="793"/>
      <c r="B108" s="574" t="s">
        <v>239</v>
      </c>
      <c r="C108" s="533">
        <v>4000</v>
      </c>
      <c r="D108" s="533">
        <v>1080</v>
      </c>
      <c r="E108" s="533">
        <v>5080</v>
      </c>
      <c r="F108" s="533">
        <f t="shared" si="9"/>
        <v>0</v>
      </c>
      <c r="G108" s="533">
        <f t="shared" si="9"/>
        <v>0</v>
      </c>
      <c r="H108" s="533">
        <f t="shared" si="9"/>
        <v>0</v>
      </c>
      <c r="I108" s="533">
        <v>4000</v>
      </c>
      <c r="J108" s="533">
        <v>1080</v>
      </c>
      <c r="K108" s="533">
        <v>5080</v>
      </c>
      <c r="L108" s="535"/>
      <c r="M108" s="533"/>
      <c r="N108" s="533"/>
      <c r="O108" s="535"/>
      <c r="P108" s="533"/>
      <c r="Q108" s="533"/>
      <c r="R108" s="535"/>
      <c r="S108" s="533"/>
      <c r="T108" s="533"/>
      <c r="U108" s="801"/>
      <c r="V108" s="801"/>
      <c r="W108" s="801"/>
      <c r="X108" s="801"/>
      <c r="Y108" s="801"/>
      <c r="Z108" s="530">
        <v>3362830</v>
      </c>
      <c r="AA108" s="787"/>
      <c r="AB108" s="693">
        <v>3363</v>
      </c>
      <c r="AC108" s="790"/>
    </row>
    <row r="109" spans="1:30" ht="31.5" customHeight="1">
      <c r="A109" s="793"/>
      <c r="B109" s="574" t="s">
        <v>238</v>
      </c>
      <c r="C109" s="533">
        <v>1000</v>
      </c>
      <c r="D109" s="533">
        <v>270</v>
      </c>
      <c r="E109" s="533">
        <v>1270</v>
      </c>
      <c r="F109" s="533">
        <f t="shared" si="9"/>
        <v>0</v>
      </c>
      <c r="G109" s="533">
        <f t="shared" si="9"/>
        <v>0</v>
      </c>
      <c r="H109" s="533">
        <f t="shared" si="9"/>
        <v>0</v>
      </c>
      <c r="I109" s="533">
        <v>1000</v>
      </c>
      <c r="J109" s="533">
        <v>270</v>
      </c>
      <c r="K109" s="533">
        <v>1270</v>
      </c>
      <c r="L109" s="535"/>
      <c r="M109" s="533"/>
      <c r="N109" s="533"/>
      <c r="O109" s="535"/>
      <c r="P109" s="533"/>
      <c r="Q109" s="533"/>
      <c r="R109" s="535"/>
      <c r="S109" s="533"/>
      <c r="T109" s="533"/>
      <c r="U109" s="801"/>
      <c r="V109" s="801"/>
      <c r="W109" s="801"/>
      <c r="X109" s="801"/>
      <c r="Y109" s="801"/>
      <c r="Z109" s="530">
        <v>279673</v>
      </c>
      <c r="AA109" s="787"/>
      <c r="AB109" s="693">
        <v>279</v>
      </c>
      <c r="AC109" s="790"/>
    </row>
    <row r="110" spans="1:30" ht="31.5" customHeight="1" thickBot="1">
      <c r="A110" s="793"/>
      <c r="B110" s="579" t="s">
        <v>672</v>
      </c>
      <c r="C110" s="535"/>
      <c r="D110" s="535"/>
      <c r="E110" s="535"/>
      <c r="F110" s="535">
        <f t="shared" si="9"/>
        <v>400</v>
      </c>
      <c r="G110" s="535">
        <f t="shared" si="9"/>
        <v>0</v>
      </c>
      <c r="H110" s="535">
        <f t="shared" si="9"/>
        <v>400</v>
      </c>
      <c r="I110" s="535">
        <v>400</v>
      </c>
      <c r="J110" s="535">
        <v>0</v>
      </c>
      <c r="K110" s="535">
        <v>400</v>
      </c>
      <c r="L110" s="535"/>
      <c r="M110" s="535"/>
      <c r="N110" s="535"/>
      <c r="O110" s="535"/>
      <c r="P110" s="535"/>
      <c r="Q110" s="535"/>
      <c r="R110" s="535"/>
      <c r="S110" s="535"/>
      <c r="T110" s="535"/>
      <c r="U110" s="783"/>
      <c r="V110" s="783"/>
      <c r="W110" s="783"/>
      <c r="X110" s="783"/>
      <c r="Y110" s="783"/>
      <c r="Z110" s="530">
        <v>400000</v>
      </c>
      <c r="AA110" s="787"/>
      <c r="AB110" s="694">
        <v>400</v>
      </c>
      <c r="AC110" s="791"/>
    </row>
    <row r="111" spans="1:30" ht="41.25" customHeight="1" thickBot="1">
      <c r="A111" s="580" t="s">
        <v>237</v>
      </c>
      <c r="B111" s="581" t="s">
        <v>673</v>
      </c>
      <c r="C111" s="582"/>
      <c r="D111" s="582"/>
      <c r="E111" s="582"/>
      <c r="F111" s="582"/>
      <c r="G111" s="582"/>
      <c r="H111" s="582"/>
      <c r="I111" s="582"/>
      <c r="J111" s="582"/>
      <c r="K111" s="582"/>
      <c r="L111" s="583">
        <v>750</v>
      </c>
      <c r="M111" s="583">
        <f>L111*0.27</f>
        <v>202.5</v>
      </c>
      <c r="N111" s="583">
        <v>953</v>
      </c>
      <c r="O111" s="582">
        <f>R111-L111</f>
        <v>0</v>
      </c>
      <c r="P111" s="582">
        <f>S111-M111</f>
        <v>0</v>
      </c>
      <c r="Q111" s="582">
        <f>T111-N111</f>
        <v>0</v>
      </c>
      <c r="R111" s="582">
        <v>750</v>
      </c>
      <c r="S111" s="582">
        <f>R111*0.27</f>
        <v>202.5</v>
      </c>
      <c r="T111" s="582">
        <v>953</v>
      </c>
      <c r="U111" s="584">
        <f>SUM(E111)</f>
        <v>0</v>
      </c>
      <c r="V111" s="585">
        <f>SUM(K111)</f>
        <v>0</v>
      </c>
      <c r="W111" s="584">
        <f>SUM(N111)</f>
        <v>953</v>
      </c>
      <c r="X111" s="584">
        <f>SUM(T111)</f>
        <v>953</v>
      </c>
      <c r="Y111" s="585">
        <f>SUM(X111,V111)</f>
        <v>953</v>
      </c>
      <c r="Z111" s="530">
        <v>67880</v>
      </c>
      <c r="AA111" s="586">
        <f>SUM(Z111)</f>
        <v>67880</v>
      </c>
      <c r="AB111" s="696">
        <v>68</v>
      </c>
      <c r="AC111" s="587">
        <v>68</v>
      </c>
    </row>
    <row r="112" spans="1:30" ht="36.6" thickBot="1">
      <c r="A112" s="588" t="s">
        <v>674</v>
      </c>
      <c r="B112" s="589" t="s">
        <v>675</v>
      </c>
      <c r="C112" s="569"/>
      <c r="D112" s="569"/>
      <c r="E112" s="569"/>
      <c r="F112" s="569">
        <f>I112-C112</f>
        <v>1875</v>
      </c>
      <c r="G112" s="569">
        <f>J112-D112</f>
        <v>506</v>
      </c>
      <c r="H112" s="569">
        <f>K112-E112</f>
        <v>2381</v>
      </c>
      <c r="I112" s="569">
        <v>1875</v>
      </c>
      <c r="J112" s="569">
        <v>506</v>
      </c>
      <c r="K112" s="569">
        <v>2381</v>
      </c>
      <c r="L112" s="569"/>
      <c r="M112" s="569"/>
      <c r="N112" s="569"/>
      <c r="O112" s="569"/>
      <c r="P112" s="569"/>
      <c r="Q112" s="569"/>
      <c r="R112" s="569"/>
      <c r="S112" s="569"/>
      <c r="T112" s="569"/>
      <c r="U112" s="590">
        <v>0</v>
      </c>
      <c r="V112" s="591">
        <f>SUM(K112)</f>
        <v>2381</v>
      </c>
      <c r="W112" s="590">
        <f>SUM(N112)</f>
        <v>0</v>
      </c>
      <c r="X112" s="590">
        <f>SUM(T112)</f>
        <v>0</v>
      </c>
      <c r="Y112" s="591">
        <f>SUM(X112,V112)</f>
        <v>2381</v>
      </c>
      <c r="Z112" s="530">
        <v>158750</v>
      </c>
      <c r="AA112" s="586">
        <f>SUM(Z112)</f>
        <v>158750</v>
      </c>
      <c r="AB112" s="696">
        <v>159</v>
      </c>
      <c r="AC112" s="587">
        <v>159</v>
      </c>
    </row>
    <row r="113" spans="1:30" ht="27" customHeight="1" thickBot="1">
      <c r="A113" s="580" t="s">
        <v>236</v>
      </c>
      <c r="B113" s="581" t="s">
        <v>235</v>
      </c>
      <c r="C113" s="582"/>
      <c r="D113" s="582"/>
      <c r="E113" s="582"/>
      <c r="F113" s="582"/>
      <c r="G113" s="582"/>
      <c r="H113" s="582"/>
      <c r="I113" s="582"/>
      <c r="J113" s="582"/>
      <c r="K113" s="582"/>
      <c r="L113" s="582">
        <v>10000</v>
      </c>
      <c r="M113" s="582">
        <v>2700</v>
      </c>
      <c r="N113" s="582">
        <v>12700</v>
      </c>
      <c r="O113" s="582">
        <f>R113-L113</f>
        <v>0</v>
      </c>
      <c r="P113" s="582">
        <f>S113-M113</f>
        <v>0</v>
      </c>
      <c r="Q113" s="582">
        <f>T113-N113</f>
        <v>0</v>
      </c>
      <c r="R113" s="582">
        <v>10000</v>
      </c>
      <c r="S113" s="582">
        <v>2700</v>
      </c>
      <c r="T113" s="582">
        <v>12700</v>
      </c>
      <c r="U113" s="592">
        <f>SUM(E113)</f>
        <v>0</v>
      </c>
      <c r="V113" s="593">
        <f>SUM(K113)</f>
        <v>0</v>
      </c>
      <c r="W113" s="592">
        <f>SUM(N113)</f>
        <v>12700</v>
      </c>
      <c r="X113" s="592">
        <f>SUM(T113)</f>
        <v>12700</v>
      </c>
      <c r="Y113" s="593">
        <f>SUM(X113,V113)</f>
        <v>12700</v>
      </c>
      <c r="Z113" s="594">
        <v>6465103</v>
      </c>
      <c r="AA113" s="595">
        <f>SUM(Z113)</f>
        <v>6465103</v>
      </c>
      <c r="AB113" s="697">
        <v>6465</v>
      </c>
      <c r="AC113" s="596">
        <v>6465</v>
      </c>
    </row>
    <row r="114" spans="1:30" ht="25.5" customHeight="1">
      <c r="A114" s="800" t="s">
        <v>676</v>
      </c>
      <c r="B114" s="597" t="s">
        <v>320</v>
      </c>
      <c r="C114" s="598">
        <v>14600</v>
      </c>
      <c r="D114" s="598">
        <v>3942.0000000000005</v>
      </c>
      <c r="E114" s="598">
        <v>18542</v>
      </c>
      <c r="F114" s="598">
        <f>I114-C114</f>
        <v>0</v>
      </c>
      <c r="G114" s="598">
        <f>J114-D114</f>
        <v>0</v>
      </c>
      <c r="H114" s="598">
        <f>K114-E114</f>
        <v>0</v>
      </c>
      <c r="I114" s="598">
        <v>14600</v>
      </c>
      <c r="J114" s="598">
        <v>3942.0000000000005</v>
      </c>
      <c r="K114" s="598">
        <v>18542</v>
      </c>
      <c r="L114" s="599"/>
      <c r="M114" s="599"/>
      <c r="N114" s="600"/>
      <c r="O114" s="599"/>
      <c r="P114" s="599"/>
      <c r="Q114" s="599"/>
      <c r="R114" s="599"/>
      <c r="S114" s="599"/>
      <c r="T114" s="600"/>
      <c r="U114" s="795">
        <f>SUM(E114:E119)</f>
        <v>18542</v>
      </c>
      <c r="V114" s="795">
        <f>SUM(K114:K119)</f>
        <v>24498</v>
      </c>
      <c r="W114" s="795">
        <f>SUM(N114:N119)</f>
        <v>4172</v>
      </c>
      <c r="X114" s="795">
        <f>SUM(T114:T119)</f>
        <v>4172</v>
      </c>
      <c r="Y114" s="795">
        <f>SUM(X114,V114)</f>
        <v>28670</v>
      </c>
      <c r="Z114" s="601">
        <v>10020300</v>
      </c>
      <c r="AA114" s="786">
        <f>SUM(Z114:Z119)</f>
        <v>11925300</v>
      </c>
      <c r="AB114" s="692">
        <v>10021</v>
      </c>
      <c r="AC114" s="789">
        <f>SUM(AB114:AB119)</f>
        <v>11926</v>
      </c>
    </row>
    <row r="115" spans="1:30" ht="25.5" customHeight="1">
      <c r="A115" s="793"/>
      <c r="B115" s="602" t="s">
        <v>321</v>
      </c>
      <c r="C115" s="603"/>
      <c r="D115" s="603"/>
      <c r="E115" s="603"/>
      <c r="F115" s="528"/>
      <c r="G115" s="528"/>
      <c r="H115" s="528"/>
      <c r="I115" s="603"/>
      <c r="J115" s="603"/>
      <c r="K115" s="603"/>
      <c r="L115" s="603">
        <v>3285</v>
      </c>
      <c r="M115" s="603">
        <f>L115*0.27</f>
        <v>886.95</v>
      </c>
      <c r="N115" s="603">
        <v>4172</v>
      </c>
      <c r="O115" s="603">
        <f>R115-L115</f>
        <v>0</v>
      </c>
      <c r="P115" s="603">
        <f>S115-M115</f>
        <v>0</v>
      </c>
      <c r="Q115" s="603">
        <f>T115-N115</f>
        <v>0</v>
      </c>
      <c r="R115" s="603">
        <v>3285</v>
      </c>
      <c r="S115" s="603">
        <f>R115*0.27</f>
        <v>886.95</v>
      </c>
      <c r="T115" s="603">
        <v>4172</v>
      </c>
      <c r="U115" s="796"/>
      <c r="V115" s="796"/>
      <c r="W115" s="796"/>
      <c r="X115" s="796"/>
      <c r="Y115" s="796"/>
      <c r="Z115" s="530">
        <v>0</v>
      </c>
      <c r="AA115" s="787"/>
      <c r="AB115" s="693">
        <v>0</v>
      </c>
      <c r="AC115" s="790"/>
    </row>
    <row r="116" spans="1:30" ht="24">
      <c r="A116" s="793"/>
      <c r="B116" s="604" t="s">
        <v>677</v>
      </c>
      <c r="C116" s="533"/>
      <c r="D116" s="533"/>
      <c r="E116" s="533"/>
      <c r="F116" s="533">
        <f t="shared" ref="F116:H120" si="10">I116-C116</f>
        <v>1000</v>
      </c>
      <c r="G116" s="533">
        <f t="shared" si="10"/>
        <v>270</v>
      </c>
      <c r="H116" s="533">
        <f t="shared" si="10"/>
        <v>1270</v>
      </c>
      <c r="I116" s="533">
        <v>1000</v>
      </c>
      <c r="J116" s="533">
        <v>270</v>
      </c>
      <c r="K116" s="533">
        <v>1270</v>
      </c>
      <c r="L116" s="528"/>
      <c r="M116" s="528"/>
      <c r="N116" s="528"/>
      <c r="O116" s="533"/>
      <c r="P116" s="533"/>
      <c r="Q116" s="533"/>
      <c r="R116" s="533"/>
      <c r="S116" s="533"/>
      <c r="T116" s="533"/>
      <c r="U116" s="796"/>
      <c r="V116" s="796"/>
      <c r="W116" s="796"/>
      <c r="X116" s="796"/>
      <c r="Y116" s="796"/>
      <c r="Z116" s="530">
        <v>0</v>
      </c>
      <c r="AA116" s="787"/>
      <c r="AB116" s="693">
        <v>0</v>
      </c>
      <c r="AC116" s="790"/>
    </row>
    <row r="117" spans="1:30" ht="24">
      <c r="A117" s="793"/>
      <c r="B117" s="605" t="s">
        <v>678</v>
      </c>
      <c r="C117" s="533"/>
      <c r="D117" s="533"/>
      <c r="E117" s="533"/>
      <c r="F117" s="533">
        <f t="shared" si="10"/>
        <v>1500</v>
      </c>
      <c r="G117" s="533">
        <f t="shared" si="10"/>
        <v>405</v>
      </c>
      <c r="H117" s="533">
        <f t="shared" si="10"/>
        <v>1905</v>
      </c>
      <c r="I117" s="533">
        <v>1500</v>
      </c>
      <c r="J117" s="533">
        <v>405</v>
      </c>
      <c r="K117" s="533">
        <v>1905</v>
      </c>
      <c r="L117" s="533"/>
      <c r="M117" s="533"/>
      <c r="N117" s="533"/>
      <c r="O117" s="533"/>
      <c r="P117" s="533"/>
      <c r="Q117" s="533"/>
      <c r="R117" s="533"/>
      <c r="S117" s="533"/>
      <c r="T117" s="533"/>
      <c r="U117" s="796"/>
      <c r="V117" s="796"/>
      <c r="W117" s="796"/>
      <c r="X117" s="796"/>
      <c r="Y117" s="796"/>
      <c r="Z117" s="530">
        <v>1905000</v>
      </c>
      <c r="AA117" s="787"/>
      <c r="AB117" s="693">
        <v>1905</v>
      </c>
      <c r="AC117" s="790"/>
    </row>
    <row r="118" spans="1:30" ht="36">
      <c r="A118" s="793"/>
      <c r="B118" s="606" t="s">
        <v>679</v>
      </c>
      <c r="C118" s="535"/>
      <c r="D118" s="535"/>
      <c r="E118" s="535"/>
      <c r="F118" s="535">
        <f t="shared" si="10"/>
        <v>1800</v>
      </c>
      <c r="G118" s="535">
        <f t="shared" si="10"/>
        <v>486</v>
      </c>
      <c r="H118" s="535">
        <f t="shared" si="10"/>
        <v>2286</v>
      </c>
      <c r="I118" s="535">
        <v>1800</v>
      </c>
      <c r="J118" s="535">
        <v>486</v>
      </c>
      <c r="K118" s="535">
        <v>2286</v>
      </c>
      <c r="L118" s="535"/>
      <c r="M118" s="535"/>
      <c r="N118" s="535"/>
      <c r="O118" s="535"/>
      <c r="P118" s="535"/>
      <c r="Q118" s="535"/>
      <c r="R118" s="535"/>
      <c r="S118" s="535"/>
      <c r="T118" s="535"/>
      <c r="U118" s="796"/>
      <c r="V118" s="796"/>
      <c r="W118" s="796"/>
      <c r="X118" s="796"/>
      <c r="Y118" s="796"/>
      <c r="Z118" s="530">
        <v>0</v>
      </c>
      <c r="AA118" s="787"/>
      <c r="AB118" s="693">
        <v>0</v>
      </c>
      <c r="AC118" s="790"/>
    </row>
    <row r="119" spans="1:30" ht="24.6" thickBot="1">
      <c r="A119" s="794"/>
      <c r="B119" s="607" t="s">
        <v>680</v>
      </c>
      <c r="C119" s="535"/>
      <c r="D119" s="535"/>
      <c r="E119" s="538"/>
      <c r="F119" s="538">
        <f t="shared" si="10"/>
        <v>390</v>
      </c>
      <c r="G119" s="538">
        <f t="shared" si="10"/>
        <v>105</v>
      </c>
      <c r="H119" s="538">
        <f t="shared" si="10"/>
        <v>495</v>
      </c>
      <c r="I119" s="538">
        <v>390</v>
      </c>
      <c r="J119" s="538">
        <v>105</v>
      </c>
      <c r="K119" s="538">
        <v>495</v>
      </c>
      <c r="L119" s="538"/>
      <c r="M119" s="538"/>
      <c r="N119" s="538"/>
      <c r="O119" s="538"/>
      <c r="P119" s="538"/>
      <c r="Q119" s="538"/>
      <c r="R119" s="538"/>
      <c r="S119" s="538"/>
      <c r="T119" s="538"/>
      <c r="U119" s="797"/>
      <c r="V119" s="797"/>
      <c r="W119" s="797"/>
      <c r="X119" s="797"/>
      <c r="Y119" s="797"/>
      <c r="Z119" s="594">
        <v>0</v>
      </c>
      <c r="AA119" s="788"/>
      <c r="AB119" s="694">
        <v>0</v>
      </c>
      <c r="AC119" s="791"/>
    </row>
    <row r="120" spans="1:30" ht="32.25" customHeight="1" thickBot="1">
      <c r="A120" s="580" t="s">
        <v>681</v>
      </c>
      <c r="B120" s="608" t="s">
        <v>682</v>
      </c>
      <c r="C120" s="582"/>
      <c r="D120" s="582"/>
      <c r="E120" s="582"/>
      <c r="F120" s="582">
        <f t="shared" si="10"/>
        <v>2700</v>
      </c>
      <c r="G120" s="582">
        <f t="shared" si="10"/>
        <v>729</v>
      </c>
      <c r="H120" s="582">
        <f t="shared" si="10"/>
        <v>3429</v>
      </c>
      <c r="I120" s="582">
        <v>2700</v>
      </c>
      <c r="J120" s="582">
        <v>729</v>
      </c>
      <c r="K120" s="582">
        <v>3429</v>
      </c>
      <c r="L120" s="582"/>
      <c r="M120" s="582"/>
      <c r="N120" s="582"/>
      <c r="O120" s="582"/>
      <c r="P120" s="582"/>
      <c r="Q120" s="582"/>
      <c r="R120" s="582"/>
      <c r="S120" s="582"/>
      <c r="T120" s="582"/>
      <c r="U120" s="592">
        <f>SUM(E120:E120)</f>
        <v>0</v>
      </c>
      <c r="V120" s="592">
        <f>SUM(K120:K120)</f>
        <v>3429</v>
      </c>
      <c r="W120" s="592">
        <f>SUM(N120:N120)</f>
        <v>0</v>
      </c>
      <c r="X120" s="592">
        <f>SUM(T120:T120)</f>
        <v>0</v>
      </c>
      <c r="Y120" s="592">
        <f>SUM(X120,V120)</f>
        <v>3429</v>
      </c>
      <c r="Z120" s="609">
        <v>3429000</v>
      </c>
      <c r="AA120" s="610">
        <f>SUM(Z120)</f>
        <v>3429000</v>
      </c>
      <c r="AB120" s="696">
        <v>3429</v>
      </c>
      <c r="AC120" s="587">
        <v>3429</v>
      </c>
    </row>
    <row r="121" spans="1:30" ht="24" customHeight="1">
      <c r="A121" s="792" t="s">
        <v>234</v>
      </c>
      <c r="B121" s="611" t="s">
        <v>233</v>
      </c>
      <c r="C121" s="598"/>
      <c r="D121" s="598"/>
      <c r="E121" s="598"/>
      <c r="F121" s="598"/>
      <c r="G121" s="598"/>
      <c r="H121" s="598"/>
      <c r="I121" s="598"/>
      <c r="J121" s="598"/>
      <c r="K121" s="598"/>
      <c r="L121" s="598">
        <v>130000</v>
      </c>
      <c r="M121" s="598">
        <v>35100</v>
      </c>
      <c r="N121" s="598">
        <v>165100</v>
      </c>
      <c r="O121" s="598">
        <f t="shared" ref="O121:Q124" si="11">R121-L121</f>
        <v>0</v>
      </c>
      <c r="P121" s="598">
        <f t="shared" si="11"/>
        <v>0</v>
      </c>
      <c r="Q121" s="598">
        <f t="shared" si="11"/>
        <v>0</v>
      </c>
      <c r="R121" s="598">
        <v>130000</v>
      </c>
      <c r="S121" s="598">
        <v>35100</v>
      </c>
      <c r="T121" s="598">
        <v>165100</v>
      </c>
      <c r="U121" s="795">
        <f>SUM(E121:E124)</f>
        <v>0</v>
      </c>
      <c r="V121" s="795">
        <f>SUM(K121:K124)</f>
        <v>0</v>
      </c>
      <c r="W121" s="795">
        <f>SUM(N121:N124)</f>
        <v>165100</v>
      </c>
      <c r="X121" s="795">
        <f>SUM(T121:T124)</f>
        <v>165310</v>
      </c>
      <c r="Y121" s="795">
        <f>SUM(X121,V121)</f>
        <v>165310</v>
      </c>
      <c r="Z121" s="601">
        <v>80727129</v>
      </c>
      <c r="AA121" s="786">
        <f>SUM(Z121:Z124)</f>
        <v>80937129</v>
      </c>
      <c r="AB121" s="692">
        <v>80727</v>
      </c>
      <c r="AC121" s="789">
        <v>80937</v>
      </c>
    </row>
    <row r="122" spans="1:30" ht="24.75" customHeight="1">
      <c r="A122" s="793"/>
      <c r="B122" s="532" t="s">
        <v>683</v>
      </c>
      <c r="C122" s="535"/>
      <c r="D122" s="535"/>
      <c r="E122" s="535"/>
      <c r="F122" s="535"/>
      <c r="G122" s="535"/>
      <c r="H122" s="535"/>
      <c r="I122" s="535"/>
      <c r="J122" s="535"/>
      <c r="K122" s="535"/>
      <c r="L122" s="536"/>
      <c r="M122" s="535"/>
      <c r="N122" s="535"/>
      <c r="O122" s="536">
        <f t="shared" si="11"/>
        <v>80</v>
      </c>
      <c r="P122" s="535">
        <f t="shared" si="11"/>
        <v>0</v>
      </c>
      <c r="Q122" s="535">
        <f t="shared" si="11"/>
        <v>80</v>
      </c>
      <c r="R122" s="536">
        <v>80</v>
      </c>
      <c r="S122" s="535"/>
      <c r="T122" s="535">
        <v>80</v>
      </c>
      <c r="U122" s="796"/>
      <c r="V122" s="796"/>
      <c r="W122" s="796"/>
      <c r="X122" s="796"/>
      <c r="Y122" s="796"/>
      <c r="Z122" s="530">
        <v>80000</v>
      </c>
      <c r="AA122" s="787"/>
      <c r="AB122" s="693">
        <v>80</v>
      </c>
      <c r="AC122" s="790"/>
    </row>
    <row r="123" spans="1:30" ht="24.75" customHeight="1">
      <c r="A123" s="793"/>
      <c r="B123" s="612" t="s">
        <v>684</v>
      </c>
      <c r="C123" s="535"/>
      <c r="D123" s="535"/>
      <c r="E123" s="535"/>
      <c r="F123" s="535"/>
      <c r="G123" s="535"/>
      <c r="H123" s="535"/>
      <c r="I123" s="535"/>
      <c r="J123" s="535"/>
      <c r="K123" s="535"/>
      <c r="L123" s="536"/>
      <c r="M123" s="535"/>
      <c r="N123" s="535"/>
      <c r="O123" s="536">
        <f t="shared" si="11"/>
        <v>50</v>
      </c>
      <c r="P123" s="535">
        <f t="shared" si="11"/>
        <v>0</v>
      </c>
      <c r="Q123" s="535">
        <f t="shared" si="11"/>
        <v>50</v>
      </c>
      <c r="R123" s="536">
        <v>50</v>
      </c>
      <c r="S123" s="535"/>
      <c r="T123" s="535">
        <v>50</v>
      </c>
      <c r="U123" s="796"/>
      <c r="V123" s="796"/>
      <c r="W123" s="796"/>
      <c r="X123" s="796"/>
      <c r="Y123" s="796"/>
      <c r="Z123" s="530">
        <v>50000</v>
      </c>
      <c r="AA123" s="787"/>
      <c r="AB123" s="693">
        <v>50</v>
      </c>
      <c r="AC123" s="790"/>
      <c r="AD123" s="633"/>
    </row>
    <row r="124" spans="1:30" ht="24.75" customHeight="1" thickBot="1">
      <c r="A124" s="794"/>
      <c r="B124" s="613" t="s">
        <v>685</v>
      </c>
      <c r="C124" s="538"/>
      <c r="D124" s="538"/>
      <c r="E124" s="538"/>
      <c r="F124" s="538"/>
      <c r="G124" s="538"/>
      <c r="H124" s="538"/>
      <c r="I124" s="538"/>
      <c r="J124" s="538"/>
      <c r="K124" s="538"/>
      <c r="L124" s="539"/>
      <c r="M124" s="538"/>
      <c r="N124" s="538"/>
      <c r="O124" s="539">
        <f t="shared" si="11"/>
        <v>80</v>
      </c>
      <c r="P124" s="538">
        <f t="shared" si="11"/>
        <v>0</v>
      </c>
      <c r="Q124" s="538">
        <f t="shared" si="11"/>
        <v>80</v>
      </c>
      <c r="R124" s="539">
        <v>80</v>
      </c>
      <c r="S124" s="538"/>
      <c r="T124" s="538">
        <v>80</v>
      </c>
      <c r="U124" s="797"/>
      <c r="V124" s="797"/>
      <c r="W124" s="797"/>
      <c r="X124" s="797"/>
      <c r="Y124" s="797"/>
      <c r="Z124" s="594">
        <v>80000</v>
      </c>
      <c r="AA124" s="788"/>
      <c r="AB124" s="694">
        <v>80</v>
      </c>
      <c r="AC124" s="791"/>
    </row>
    <row r="125" spans="1:30" ht="33" customHeight="1">
      <c r="A125" s="792" t="s">
        <v>686</v>
      </c>
      <c r="B125" s="614" t="s">
        <v>687</v>
      </c>
      <c r="C125" s="598"/>
      <c r="D125" s="598"/>
      <c r="E125" s="598"/>
      <c r="F125" s="598">
        <f t="shared" ref="F125:H127" si="12">I125-C125</f>
        <v>5635</v>
      </c>
      <c r="G125" s="598">
        <f t="shared" si="12"/>
        <v>1521</v>
      </c>
      <c r="H125" s="598">
        <f t="shared" si="12"/>
        <v>7156</v>
      </c>
      <c r="I125" s="598">
        <v>5635</v>
      </c>
      <c r="J125" s="598">
        <v>1521</v>
      </c>
      <c r="K125" s="598">
        <v>7156</v>
      </c>
      <c r="L125" s="598"/>
      <c r="M125" s="598"/>
      <c r="N125" s="598"/>
      <c r="O125" s="598"/>
      <c r="P125" s="598"/>
      <c r="Q125" s="598"/>
      <c r="R125" s="598"/>
      <c r="S125" s="598"/>
      <c r="T125" s="598"/>
      <c r="U125" s="795">
        <f>SUM(E125:E127)</f>
        <v>0</v>
      </c>
      <c r="V125" s="795">
        <f>SUM(K125:K127)</f>
        <v>16976</v>
      </c>
      <c r="W125" s="795">
        <f>SUM(N125:N127)</f>
        <v>0</v>
      </c>
      <c r="X125" s="795">
        <f>SUM(T125:T127)</f>
        <v>0</v>
      </c>
      <c r="Y125" s="795">
        <f>SUM(X125,V125)</f>
        <v>16976</v>
      </c>
      <c r="Z125" s="601">
        <v>3127936</v>
      </c>
      <c r="AA125" s="786">
        <f>SUM(Z125:Z127)</f>
        <v>3127936</v>
      </c>
      <c r="AB125" s="692">
        <v>3128</v>
      </c>
      <c r="AC125" s="789">
        <v>3128</v>
      </c>
    </row>
    <row r="126" spans="1:30" ht="36">
      <c r="A126" s="793"/>
      <c r="B126" s="543" t="s">
        <v>688</v>
      </c>
      <c r="C126" s="533"/>
      <c r="D126" s="533"/>
      <c r="E126" s="533"/>
      <c r="F126" s="533">
        <f t="shared" si="12"/>
        <v>4953</v>
      </c>
      <c r="G126" s="533">
        <f t="shared" si="12"/>
        <v>1337</v>
      </c>
      <c r="H126" s="533">
        <f t="shared" si="12"/>
        <v>6290</v>
      </c>
      <c r="I126" s="533">
        <v>4953</v>
      </c>
      <c r="J126" s="533">
        <v>1337</v>
      </c>
      <c r="K126" s="533">
        <v>6290</v>
      </c>
      <c r="L126" s="533"/>
      <c r="M126" s="533"/>
      <c r="N126" s="533"/>
      <c r="O126" s="533"/>
      <c r="P126" s="533"/>
      <c r="Q126" s="533"/>
      <c r="R126" s="533"/>
      <c r="S126" s="533"/>
      <c r="T126" s="533"/>
      <c r="U126" s="796"/>
      <c r="V126" s="796"/>
      <c r="W126" s="796"/>
      <c r="X126" s="796"/>
      <c r="Y126" s="796"/>
      <c r="Z126" s="530">
        <v>0</v>
      </c>
      <c r="AA126" s="798"/>
      <c r="AB126" s="693">
        <v>0</v>
      </c>
      <c r="AC126" s="790"/>
      <c r="AD126" s="633"/>
    </row>
    <row r="127" spans="1:30" ht="24.6" thickBot="1">
      <c r="A127" s="794"/>
      <c r="B127" s="613" t="s">
        <v>689</v>
      </c>
      <c r="C127" s="538"/>
      <c r="D127" s="538"/>
      <c r="E127" s="538"/>
      <c r="F127" s="538">
        <f t="shared" si="12"/>
        <v>2780</v>
      </c>
      <c r="G127" s="538">
        <f t="shared" si="12"/>
        <v>750</v>
      </c>
      <c r="H127" s="538">
        <f t="shared" si="12"/>
        <v>3530</v>
      </c>
      <c r="I127" s="538">
        <v>2780</v>
      </c>
      <c r="J127" s="538">
        <v>750</v>
      </c>
      <c r="K127" s="538">
        <v>3530</v>
      </c>
      <c r="L127" s="538"/>
      <c r="M127" s="538"/>
      <c r="N127" s="538"/>
      <c r="O127" s="538"/>
      <c r="P127" s="538"/>
      <c r="Q127" s="538"/>
      <c r="R127" s="538"/>
      <c r="S127" s="538"/>
      <c r="T127" s="538"/>
      <c r="U127" s="797"/>
      <c r="V127" s="797"/>
      <c r="W127" s="797"/>
      <c r="X127" s="797"/>
      <c r="Y127" s="797"/>
      <c r="Z127" s="594">
        <v>0</v>
      </c>
      <c r="AA127" s="799"/>
      <c r="AB127" s="694">
        <v>0</v>
      </c>
      <c r="AC127" s="791"/>
    </row>
    <row r="128" spans="1:30" ht="34.5" customHeight="1" thickBot="1">
      <c r="A128" s="615"/>
      <c r="B128" s="616" t="s">
        <v>690</v>
      </c>
      <c r="C128" s="584">
        <f t="shared" ref="C128:X128" si="13">SUM(C7:C127)</f>
        <v>239052</v>
      </c>
      <c r="D128" s="584">
        <f t="shared" si="13"/>
        <v>56444.04</v>
      </c>
      <c r="E128" s="584">
        <f t="shared" si="13"/>
        <v>295496.54000000004</v>
      </c>
      <c r="F128" s="584">
        <f t="shared" si="13"/>
        <v>240787</v>
      </c>
      <c r="G128" s="584">
        <f t="shared" si="13"/>
        <v>39822.42</v>
      </c>
      <c r="H128" s="584">
        <f t="shared" si="13"/>
        <v>280608.95999999996</v>
      </c>
      <c r="I128" s="584">
        <f t="shared" si="13"/>
        <v>479839</v>
      </c>
      <c r="J128" s="584">
        <f t="shared" si="13"/>
        <v>96266.46</v>
      </c>
      <c r="K128" s="584">
        <f t="shared" si="13"/>
        <v>576105.5</v>
      </c>
      <c r="L128" s="584">
        <f t="shared" si="13"/>
        <v>506852</v>
      </c>
      <c r="M128" s="584">
        <f t="shared" si="13"/>
        <v>136848.21</v>
      </c>
      <c r="N128" s="584">
        <f t="shared" si="13"/>
        <v>643699.76</v>
      </c>
      <c r="O128" s="584">
        <f t="shared" si="13"/>
        <v>125314</v>
      </c>
      <c r="P128" s="584">
        <f t="shared" si="13"/>
        <v>33238</v>
      </c>
      <c r="Q128" s="584">
        <f t="shared" si="13"/>
        <v>158552.24</v>
      </c>
      <c r="R128" s="584">
        <f t="shared" si="13"/>
        <v>632166</v>
      </c>
      <c r="S128" s="584">
        <f t="shared" si="13"/>
        <v>170086.21000000002</v>
      </c>
      <c r="T128" s="584">
        <f t="shared" si="13"/>
        <v>802252</v>
      </c>
      <c r="U128" s="584">
        <f t="shared" si="13"/>
        <v>295496.54000000004</v>
      </c>
      <c r="V128" s="584">
        <f t="shared" si="13"/>
        <v>576106</v>
      </c>
      <c r="W128" s="584">
        <f t="shared" si="13"/>
        <v>643699.76</v>
      </c>
      <c r="X128" s="584">
        <f t="shared" si="13"/>
        <v>802252</v>
      </c>
      <c r="Y128" s="585">
        <f>SUM(V128,X128)</f>
        <v>1378358</v>
      </c>
      <c r="Z128" s="617">
        <f>SUM(Z7:Z127)</f>
        <v>387727119</v>
      </c>
      <c r="AA128" s="618">
        <f>SUM(AA7:AA127)</f>
        <v>387727119</v>
      </c>
      <c r="AB128" s="619">
        <f>SUM(AB7:AB127)</f>
        <v>387727</v>
      </c>
      <c r="AC128" s="619">
        <f>SUM(AC7:AC127)</f>
        <v>387727</v>
      </c>
    </row>
    <row r="129" spans="1:29" ht="30.75" customHeight="1" thickBot="1">
      <c r="A129" s="620" t="s">
        <v>503</v>
      </c>
      <c r="B129" s="621" t="s">
        <v>504</v>
      </c>
      <c r="C129" s="569"/>
      <c r="D129" s="569"/>
      <c r="E129" s="569"/>
      <c r="F129" s="569"/>
      <c r="G129" s="569"/>
      <c r="H129" s="569"/>
      <c r="I129" s="569"/>
      <c r="J129" s="569"/>
      <c r="K129" s="569"/>
      <c r="L129" s="599">
        <v>200</v>
      </c>
      <c r="M129" s="599">
        <f>+L129*0.27</f>
        <v>54</v>
      </c>
      <c r="N129" s="599">
        <f>+M129+L129</f>
        <v>254</v>
      </c>
      <c r="O129" s="622"/>
      <c r="P129" s="569"/>
      <c r="Q129" s="569"/>
      <c r="R129" s="622"/>
      <c r="S129" s="569"/>
      <c r="T129" s="569"/>
      <c r="U129" s="623">
        <f>SUM(E129)</f>
        <v>0</v>
      </c>
      <c r="V129" s="592">
        <f>SUM(K129)</f>
        <v>0</v>
      </c>
      <c r="W129" s="623">
        <f>SUM(N129)</f>
        <v>254</v>
      </c>
      <c r="X129" s="590">
        <v>254</v>
      </c>
      <c r="Y129" s="593">
        <f>SUM(X129,V129)</f>
        <v>254</v>
      </c>
      <c r="Z129" s="530"/>
      <c r="AA129" s="624"/>
      <c r="AB129" s="696">
        <v>0</v>
      </c>
      <c r="AC129" s="587">
        <f>SUM(AB129)</f>
        <v>0</v>
      </c>
    </row>
    <row r="130" spans="1:29" ht="30.75" customHeight="1" thickBot="1">
      <c r="A130" s="625" t="s">
        <v>693</v>
      </c>
      <c r="B130" s="626" t="s">
        <v>694</v>
      </c>
      <c r="C130" s="582"/>
      <c r="D130" s="582"/>
      <c r="E130" s="582"/>
      <c r="F130" s="582">
        <f t="shared" ref="F130:H134" si="14">I130-C130</f>
        <v>383</v>
      </c>
      <c r="G130" s="582">
        <f t="shared" si="14"/>
        <v>104</v>
      </c>
      <c r="H130" s="582">
        <f t="shared" si="14"/>
        <v>487</v>
      </c>
      <c r="I130" s="582">
        <v>383</v>
      </c>
      <c r="J130" s="582">
        <v>104</v>
      </c>
      <c r="K130" s="582">
        <v>487</v>
      </c>
      <c r="L130" s="627"/>
      <c r="M130" s="627"/>
      <c r="N130" s="627"/>
      <c r="O130" s="628"/>
      <c r="P130" s="582"/>
      <c r="Q130" s="582"/>
      <c r="R130" s="628"/>
      <c r="S130" s="582"/>
      <c r="T130" s="582"/>
      <c r="U130" s="592">
        <f>SUM(E130)</f>
        <v>0</v>
      </c>
      <c r="V130" s="592">
        <f>SUM(K130)</f>
        <v>487</v>
      </c>
      <c r="W130" s="592">
        <f>SUM(N130)</f>
        <v>0</v>
      </c>
      <c r="X130" s="592">
        <f>SUM(T130)</f>
        <v>0</v>
      </c>
      <c r="Y130" s="593">
        <f>SUM(X130,V130)</f>
        <v>487</v>
      </c>
      <c r="Z130" s="530"/>
      <c r="AA130" s="624"/>
      <c r="AB130" s="698">
        <v>487</v>
      </c>
      <c r="AC130" s="629">
        <v>487</v>
      </c>
    </row>
    <row r="131" spans="1:29" ht="30.75" customHeight="1" thickBot="1">
      <c r="A131" s="625"/>
      <c r="B131" s="626" t="s">
        <v>698</v>
      </c>
      <c r="C131" s="582"/>
      <c r="D131" s="582"/>
      <c r="E131" s="582"/>
      <c r="F131" s="582"/>
      <c r="G131" s="582"/>
      <c r="H131" s="582"/>
      <c r="I131" s="582"/>
      <c r="J131" s="582"/>
      <c r="K131" s="582">
        <v>521</v>
      </c>
      <c r="L131" s="627"/>
      <c r="M131" s="627"/>
      <c r="N131" s="627"/>
      <c r="O131" s="628"/>
      <c r="P131" s="582"/>
      <c r="Q131" s="582"/>
      <c r="R131" s="628"/>
      <c r="S131" s="582"/>
      <c r="T131" s="582"/>
      <c r="U131" s="592"/>
      <c r="V131" s="592"/>
      <c r="W131" s="592"/>
      <c r="X131" s="592"/>
      <c r="Y131" s="593"/>
      <c r="Z131" s="530"/>
      <c r="AA131" s="624"/>
      <c r="AB131" s="699">
        <v>521</v>
      </c>
      <c r="AC131" s="629">
        <v>521</v>
      </c>
    </row>
    <row r="132" spans="1:29" ht="30.75" customHeight="1" thickBot="1">
      <c r="A132" s="625" t="s">
        <v>695</v>
      </c>
      <c r="B132" s="626" t="s">
        <v>696</v>
      </c>
      <c r="C132" s="582"/>
      <c r="D132" s="582"/>
      <c r="E132" s="582"/>
      <c r="F132" s="582">
        <f>I132-C132</f>
        <v>724</v>
      </c>
      <c r="G132" s="582">
        <f>J132-D132</f>
        <v>196</v>
      </c>
      <c r="H132" s="582">
        <f>K132-E132</f>
        <v>920</v>
      </c>
      <c r="I132" s="582">
        <v>724</v>
      </c>
      <c r="J132" s="582">
        <v>196</v>
      </c>
      <c r="K132" s="582">
        <v>920</v>
      </c>
      <c r="L132" s="627"/>
      <c r="M132" s="627"/>
      <c r="N132" s="627"/>
      <c r="O132" s="628"/>
      <c r="P132" s="582"/>
      <c r="Q132" s="582"/>
      <c r="R132" s="628"/>
      <c r="S132" s="582"/>
      <c r="T132" s="582"/>
      <c r="U132" s="592">
        <f t="shared" ref="U132" si="15">SUM(E132)</f>
        <v>0</v>
      </c>
      <c r="V132" s="592">
        <f t="shared" ref="V132" si="16">SUM(K132)</f>
        <v>920</v>
      </c>
      <c r="W132" s="592">
        <f>SUM(N132)</f>
        <v>0</v>
      </c>
      <c r="X132" s="592">
        <f>SUM(T132)</f>
        <v>0</v>
      </c>
      <c r="Y132" s="593">
        <f>SUM(X132,V132)</f>
        <v>920</v>
      </c>
      <c r="Z132" s="530"/>
      <c r="AA132" s="624"/>
      <c r="AB132" s="698">
        <v>919</v>
      </c>
      <c r="AC132" s="629">
        <v>919</v>
      </c>
    </row>
    <row r="133" spans="1:29" ht="30.75" customHeight="1" thickBot="1">
      <c r="A133" s="780" t="s">
        <v>676</v>
      </c>
      <c r="B133" s="626" t="s">
        <v>697</v>
      </c>
      <c r="C133" s="582"/>
      <c r="D133" s="582"/>
      <c r="E133" s="582"/>
      <c r="F133" s="582">
        <f t="shared" si="14"/>
        <v>1360</v>
      </c>
      <c r="G133" s="582">
        <f t="shared" si="14"/>
        <v>367</v>
      </c>
      <c r="H133" s="582">
        <f t="shared" si="14"/>
        <v>1727</v>
      </c>
      <c r="I133" s="582">
        <v>1360</v>
      </c>
      <c r="J133" s="582">
        <v>367</v>
      </c>
      <c r="K133" s="582">
        <v>1727</v>
      </c>
      <c r="L133" s="627"/>
      <c r="M133" s="627"/>
      <c r="N133" s="627"/>
      <c r="O133" s="628"/>
      <c r="P133" s="582"/>
      <c r="Q133" s="582"/>
      <c r="R133" s="628"/>
      <c r="S133" s="582"/>
      <c r="T133" s="582"/>
      <c r="U133" s="782">
        <f>SUM(E133:E134)</f>
        <v>0</v>
      </c>
      <c r="V133" s="782">
        <f>SUM(K133:K134)</f>
        <v>1832</v>
      </c>
      <c r="W133" s="782">
        <f>SUM(N133:N134)</f>
        <v>0</v>
      </c>
      <c r="X133" s="782">
        <f>SUM(T133:T134)</f>
        <v>0</v>
      </c>
      <c r="Y133" s="784">
        <f>SUM(X133,V133)</f>
        <v>1832</v>
      </c>
      <c r="Z133" s="530"/>
      <c r="AA133" s="624"/>
      <c r="AB133" s="776">
        <v>1833</v>
      </c>
      <c r="AC133" s="778">
        <v>1833</v>
      </c>
    </row>
    <row r="134" spans="1:29" ht="30.75" customHeight="1" thickBot="1">
      <c r="A134" s="781"/>
      <c r="B134" s="626" t="s">
        <v>699</v>
      </c>
      <c r="C134" s="582"/>
      <c r="D134" s="582"/>
      <c r="E134" s="582"/>
      <c r="F134" s="582">
        <f t="shared" si="14"/>
        <v>83</v>
      </c>
      <c r="G134" s="582">
        <f t="shared" si="14"/>
        <v>22</v>
      </c>
      <c r="H134" s="582">
        <f t="shared" si="14"/>
        <v>105</v>
      </c>
      <c r="I134" s="582">
        <v>83</v>
      </c>
      <c r="J134" s="582">
        <v>22</v>
      </c>
      <c r="K134" s="582">
        <v>105</v>
      </c>
      <c r="L134" s="627"/>
      <c r="M134" s="627"/>
      <c r="N134" s="627"/>
      <c r="O134" s="628"/>
      <c r="P134" s="582"/>
      <c r="Q134" s="582"/>
      <c r="R134" s="628"/>
      <c r="S134" s="582"/>
      <c r="T134" s="582"/>
      <c r="U134" s="783"/>
      <c r="V134" s="783"/>
      <c r="W134" s="783"/>
      <c r="X134" s="783"/>
      <c r="Y134" s="785"/>
      <c r="Z134" s="530"/>
      <c r="AA134" s="624"/>
      <c r="AB134" s="777"/>
      <c r="AC134" s="779"/>
    </row>
    <row r="135" spans="1:29" ht="33.75" customHeight="1" thickBot="1">
      <c r="A135" s="630"/>
      <c r="B135" s="631" t="s">
        <v>700</v>
      </c>
      <c r="C135" s="592">
        <f t="shared" ref="C135:X135" si="17">SUM(C128:C134)</f>
        <v>239052</v>
      </c>
      <c r="D135" s="592">
        <f t="shared" si="17"/>
        <v>56444.04</v>
      </c>
      <c r="E135" s="592">
        <f t="shared" si="17"/>
        <v>295496.54000000004</v>
      </c>
      <c r="F135" s="592">
        <f t="shared" si="17"/>
        <v>243337</v>
      </c>
      <c r="G135" s="592">
        <f t="shared" si="17"/>
        <v>40511.42</v>
      </c>
      <c r="H135" s="592">
        <f t="shared" si="17"/>
        <v>283847.95999999996</v>
      </c>
      <c r="I135" s="592">
        <f t="shared" si="17"/>
        <v>482389</v>
      </c>
      <c r="J135" s="592">
        <f t="shared" si="17"/>
        <v>96955.46</v>
      </c>
      <c r="K135" s="592">
        <f t="shared" si="17"/>
        <v>579865.5</v>
      </c>
      <c r="L135" s="592">
        <f t="shared" si="17"/>
        <v>507052</v>
      </c>
      <c r="M135" s="592">
        <f t="shared" si="17"/>
        <v>136902.21</v>
      </c>
      <c r="N135" s="592">
        <f t="shared" si="17"/>
        <v>643953.76</v>
      </c>
      <c r="O135" s="592">
        <f t="shared" si="17"/>
        <v>125314</v>
      </c>
      <c r="P135" s="592">
        <f t="shared" si="17"/>
        <v>33238</v>
      </c>
      <c r="Q135" s="592">
        <f t="shared" si="17"/>
        <v>158552.24</v>
      </c>
      <c r="R135" s="592">
        <f t="shared" si="17"/>
        <v>632166</v>
      </c>
      <c r="S135" s="592">
        <f t="shared" si="17"/>
        <v>170086.21000000002</v>
      </c>
      <c r="T135" s="592">
        <f t="shared" si="17"/>
        <v>802252</v>
      </c>
      <c r="U135" s="592">
        <f t="shared" si="17"/>
        <v>295496.54000000004</v>
      </c>
      <c r="V135" s="593">
        <f t="shared" si="17"/>
        <v>579345</v>
      </c>
      <c r="W135" s="593">
        <f t="shared" si="17"/>
        <v>643953.76</v>
      </c>
      <c r="X135" s="593">
        <f t="shared" si="17"/>
        <v>802506</v>
      </c>
      <c r="Y135" s="593">
        <f>SUM(X135,V135)</f>
        <v>1381851</v>
      </c>
      <c r="Z135" s="593">
        <f t="shared" ref="Z135:AA135" si="18">SUM(Y135,W135)</f>
        <v>2025804.76</v>
      </c>
      <c r="AA135" s="593">
        <f t="shared" si="18"/>
        <v>2828310.76</v>
      </c>
      <c r="AB135" s="632">
        <f>SUM(AB128:AB134)</f>
        <v>391487</v>
      </c>
      <c r="AC135" s="632">
        <f>SUM(AC128:AC134)</f>
        <v>391487</v>
      </c>
    </row>
    <row r="136" spans="1:29">
      <c r="A136" s="524"/>
    </row>
    <row r="137" spans="1:29">
      <c r="A137" s="633"/>
      <c r="C137" s="633"/>
      <c r="D137" s="633"/>
      <c r="E137" s="633"/>
      <c r="F137" s="633"/>
      <c r="G137" s="633"/>
      <c r="H137" s="633"/>
      <c r="I137" s="633"/>
      <c r="J137" s="633"/>
      <c r="K137" s="633"/>
      <c r="L137" s="633"/>
      <c r="M137" s="633"/>
      <c r="N137" s="633"/>
      <c r="O137" s="633"/>
      <c r="P137" s="633"/>
      <c r="Q137" s="633"/>
      <c r="R137" s="633"/>
      <c r="S137" s="633"/>
      <c r="T137" s="633"/>
    </row>
    <row r="138" spans="1:29">
      <c r="A138" s="633"/>
      <c r="C138" s="633"/>
      <c r="D138" s="633"/>
      <c r="E138" s="633"/>
      <c r="F138" s="633"/>
      <c r="G138" s="633"/>
      <c r="H138" s="633"/>
      <c r="I138" s="633"/>
      <c r="J138" s="633"/>
      <c r="K138" s="633"/>
      <c r="L138" s="633"/>
      <c r="M138" s="633"/>
      <c r="N138" s="633"/>
      <c r="O138" s="633"/>
      <c r="P138" s="633"/>
      <c r="Q138" s="633"/>
      <c r="R138" s="633"/>
      <c r="S138" s="633"/>
      <c r="T138" s="633"/>
    </row>
    <row r="139" spans="1:29" s="524" customFormat="1">
      <c r="A139" s="633"/>
      <c r="B139" s="522"/>
      <c r="C139" s="633"/>
      <c r="D139" s="633"/>
      <c r="E139" s="633"/>
      <c r="F139" s="633"/>
      <c r="G139" s="633"/>
      <c r="H139" s="633"/>
      <c r="I139" s="633"/>
      <c r="J139" s="633"/>
      <c r="K139" s="633"/>
      <c r="L139" s="633"/>
      <c r="M139" s="633"/>
      <c r="N139" s="633"/>
      <c r="O139" s="633"/>
      <c r="P139" s="633"/>
      <c r="Q139" s="633"/>
      <c r="R139" s="633"/>
      <c r="S139" s="633"/>
      <c r="T139" s="633"/>
      <c r="U139" s="523"/>
      <c r="V139" s="523"/>
      <c r="W139" s="523"/>
      <c r="X139" s="523"/>
      <c r="AB139" s="519"/>
      <c r="AC139" s="519"/>
    </row>
    <row r="140" spans="1:29" s="524" customFormat="1">
      <c r="A140" s="633"/>
      <c r="B140" s="522"/>
      <c r="C140" s="633"/>
      <c r="D140" s="633"/>
      <c r="E140" s="633"/>
      <c r="F140" s="633"/>
      <c r="G140" s="633"/>
      <c r="H140" s="633"/>
      <c r="I140" s="633"/>
      <c r="J140" s="633"/>
      <c r="K140" s="633"/>
      <c r="L140" s="633"/>
      <c r="M140" s="633"/>
      <c r="N140" s="633"/>
      <c r="O140" s="633"/>
      <c r="P140" s="633"/>
      <c r="Q140" s="633"/>
      <c r="R140" s="633"/>
      <c r="S140" s="633"/>
      <c r="T140" s="633"/>
      <c r="U140" s="523"/>
      <c r="V140" s="523"/>
      <c r="W140" s="523"/>
      <c r="X140" s="523"/>
      <c r="AB140" s="519"/>
      <c r="AC140" s="519"/>
    </row>
    <row r="141" spans="1:29" s="524" customFormat="1">
      <c r="A141" s="633"/>
      <c r="B141" s="522"/>
      <c r="C141" s="633"/>
      <c r="D141" s="633"/>
      <c r="E141" s="633"/>
      <c r="F141" s="633"/>
      <c r="G141" s="633"/>
      <c r="H141" s="633"/>
      <c r="I141" s="633"/>
      <c r="J141" s="633"/>
      <c r="K141" s="633"/>
      <c r="L141" s="633"/>
      <c r="M141" s="633"/>
      <c r="N141" s="633"/>
      <c r="O141" s="633"/>
      <c r="P141" s="633"/>
      <c r="Q141" s="633"/>
      <c r="R141" s="633"/>
      <c r="S141" s="633"/>
      <c r="T141" s="633"/>
      <c r="U141" s="523"/>
      <c r="V141" s="523"/>
      <c r="W141" s="523"/>
      <c r="X141" s="523"/>
      <c r="AB141" s="519"/>
      <c r="AC141" s="519"/>
    </row>
    <row r="142" spans="1:29" s="524" customFormat="1">
      <c r="A142" s="633"/>
      <c r="B142" s="522"/>
      <c r="C142" s="633"/>
      <c r="D142" s="633"/>
      <c r="E142" s="633"/>
      <c r="F142" s="633"/>
      <c r="G142" s="633"/>
      <c r="H142" s="633"/>
      <c r="I142" s="633"/>
      <c r="J142" s="633"/>
      <c r="K142" s="633"/>
      <c r="L142" s="633"/>
      <c r="M142" s="633"/>
      <c r="N142" s="633"/>
      <c r="O142" s="633"/>
      <c r="P142" s="633"/>
      <c r="Q142" s="633"/>
      <c r="R142" s="633"/>
      <c r="S142" s="633"/>
      <c r="T142" s="633"/>
      <c r="U142" s="523"/>
      <c r="V142" s="523"/>
      <c r="W142" s="523"/>
      <c r="X142" s="523"/>
      <c r="AB142" s="519"/>
      <c r="AC142" s="519"/>
    </row>
    <row r="143" spans="1:29" s="524" customFormat="1">
      <c r="A143" s="633"/>
      <c r="B143" s="522"/>
      <c r="C143" s="633"/>
      <c r="D143" s="633"/>
      <c r="E143" s="633"/>
      <c r="F143" s="633"/>
      <c r="G143" s="633"/>
      <c r="H143" s="633"/>
      <c r="I143" s="633"/>
      <c r="J143" s="633"/>
      <c r="K143" s="633"/>
      <c r="L143" s="633"/>
      <c r="M143" s="633"/>
      <c r="N143" s="633"/>
      <c r="O143" s="633"/>
      <c r="P143" s="633"/>
      <c r="Q143" s="633"/>
      <c r="R143" s="633"/>
      <c r="S143" s="633"/>
      <c r="T143" s="633"/>
      <c r="U143" s="523"/>
      <c r="V143" s="523"/>
      <c r="W143" s="523"/>
      <c r="X143" s="523"/>
      <c r="AB143" s="519"/>
      <c r="AC143" s="519"/>
    </row>
    <row r="144" spans="1:29" s="524" customFormat="1">
      <c r="A144" s="633"/>
      <c r="B144" s="522"/>
      <c r="C144" s="633"/>
      <c r="D144" s="633"/>
      <c r="E144" s="633"/>
      <c r="F144" s="633"/>
      <c r="G144" s="633"/>
      <c r="H144" s="633"/>
      <c r="I144" s="633"/>
      <c r="J144" s="633"/>
      <c r="K144" s="633"/>
      <c r="L144" s="633"/>
      <c r="M144" s="633"/>
      <c r="N144" s="633"/>
      <c r="O144" s="633"/>
      <c r="P144" s="633"/>
      <c r="Q144" s="633"/>
      <c r="R144" s="633"/>
      <c r="S144" s="633"/>
      <c r="T144" s="633"/>
      <c r="U144" s="523"/>
      <c r="V144" s="523"/>
      <c r="W144" s="523"/>
      <c r="X144" s="523"/>
      <c r="AB144" s="519"/>
      <c r="AC144" s="519"/>
    </row>
    <row r="145" spans="1:29" s="524" customFormat="1">
      <c r="A145" s="633"/>
      <c r="B145" s="522"/>
      <c r="C145" s="633"/>
      <c r="D145" s="633"/>
      <c r="E145" s="633"/>
      <c r="F145" s="633"/>
      <c r="G145" s="633"/>
      <c r="H145" s="633"/>
      <c r="I145" s="633"/>
      <c r="J145" s="633"/>
      <c r="K145" s="633"/>
      <c r="L145" s="633"/>
      <c r="M145" s="633"/>
      <c r="N145" s="633"/>
      <c r="O145" s="633"/>
      <c r="P145" s="633"/>
      <c r="Q145" s="633"/>
      <c r="R145" s="633"/>
      <c r="S145" s="633"/>
      <c r="T145" s="633"/>
      <c r="U145" s="523"/>
      <c r="V145" s="523"/>
      <c r="W145" s="523"/>
      <c r="X145" s="523"/>
      <c r="AB145" s="519"/>
      <c r="AC145" s="519"/>
    </row>
    <row r="146" spans="1:29" s="524" customFormat="1">
      <c r="A146" s="633"/>
      <c r="B146" s="522"/>
      <c r="C146" s="633"/>
      <c r="D146" s="633"/>
      <c r="E146" s="633"/>
      <c r="F146" s="633"/>
      <c r="G146" s="633"/>
      <c r="H146" s="633"/>
      <c r="I146" s="633"/>
      <c r="J146" s="633"/>
      <c r="K146" s="633"/>
      <c r="L146" s="633"/>
      <c r="M146" s="633"/>
      <c r="N146" s="633"/>
      <c r="O146" s="633"/>
      <c r="P146" s="633"/>
      <c r="Q146" s="633"/>
      <c r="R146" s="633"/>
      <c r="S146" s="633"/>
      <c r="T146" s="633"/>
      <c r="U146" s="523"/>
      <c r="V146" s="523"/>
      <c r="W146" s="523"/>
      <c r="X146" s="523"/>
      <c r="AB146" s="519"/>
      <c r="AC146" s="519"/>
    </row>
    <row r="147" spans="1:29" s="524" customFormat="1">
      <c r="A147" s="633"/>
      <c r="B147" s="522"/>
      <c r="C147" s="633"/>
      <c r="D147" s="633"/>
      <c r="E147" s="633"/>
      <c r="F147" s="633"/>
      <c r="G147" s="633"/>
      <c r="H147" s="633"/>
      <c r="I147" s="633"/>
      <c r="J147" s="633"/>
      <c r="K147" s="633"/>
      <c r="L147" s="633"/>
      <c r="M147" s="633"/>
      <c r="N147" s="633"/>
      <c r="O147" s="633"/>
      <c r="P147" s="633"/>
      <c r="Q147" s="633"/>
      <c r="R147" s="633"/>
      <c r="S147" s="633"/>
      <c r="T147" s="633"/>
      <c r="U147" s="523"/>
      <c r="V147" s="523"/>
      <c r="W147" s="523"/>
      <c r="X147" s="523"/>
      <c r="AB147" s="519"/>
      <c r="AC147" s="519"/>
    </row>
    <row r="148" spans="1:29" s="524" customFormat="1">
      <c r="A148" s="633"/>
      <c r="B148" s="522"/>
      <c r="C148" s="633"/>
      <c r="D148" s="633"/>
      <c r="E148" s="633"/>
      <c r="F148" s="633"/>
      <c r="G148" s="633"/>
      <c r="H148" s="633"/>
      <c r="I148" s="633"/>
      <c r="J148" s="633"/>
      <c r="K148" s="633"/>
      <c r="L148" s="633"/>
      <c r="M148" s="633"/>
      <c r="N148" s="633"/>
      <c r="O148" s="633"/>
      <c r="P148" s="633"/>
      <c r="Q148" s="633"/>
      <c r="R148" s="633"/>
      <c r="S148" s="633"/>
      <c r="T148" s="633"/>
      <c r="U148" s="523"/>
      <c r="V148" s="523"/>
      <c r="W148" s="523"/>
      <c r="X148" s="523"/>
      <c r="AB148" s="519"/>
      <c r="AC148" s="519"/>
    </row>
    <row r="149" spans="1:29" s="524" customFormat="1">
      <c r="A149" s="633"/>
      <c r="B149" s="522"/>
      <c r="C149" s="633"/>
      <c r="D149" s="633"/>
      <c r="E149" s="633"/>
      <c r="F149" s="633"/>
      <c r="G149" s="633"/>
      <c r="H149" s="633"/>
      <c r="I149" s="633"/>
      <c r="J149" s="633"/>
      <c r="K149" s="633"/>
      <c r="L149" s="633"/>
      <c r="M149" s="633"/>
      <c r="N149" s="633"/>
      <c r="O149" s="633"/>
      <c r="P149" s="633"/>
      <c r="Q149" s="633"/>
      <c r="R149" s="633"/>
      <c r="S149" s="633"/>
      <c r="T149" s="633"/>
      <c r="U149" s="523"/>
      <c r="V149" s="523"/>
      <c r="W149" s="523"/>
      <c r="X149" s="523"/>
      <c r="AB149" s="519"/>
      <c r="AC149" s="519"/>
    </row>
    <row r="150" spans="1:29" s="524" customFormat="1">
      <c r="A150" s="633"/>
      <c r="B150" s="522"/>
      <c r="C150" s="633"/>
      <c r="D150" s="633"/>
      <c r="E150" s="633"/>
      <c r="F150" s="633"/>
      <c r="G150" s="633"/>
      <c r="H150" s="633"/>
      <c r="I150" s="633"/>
      <c r="J150" s="633"/>
      <c r="K150" s="633"/>
      <c r="L150" s="633"/>
      <c r="M150" s="633"/>
      <c r="N150" s="633"/>
      <c r="O150" s="633"/>
      <c r="P150" s="633"/>
      <c r="Q150" s="633"/>
      <c r="R150" s="633"/>
      <c r="S150" s="633"/>
      <c r="T150" s="633"/>
      <c r="U150" s="523"/>
      <c r="V150" s="523"/>
      <c r="W150" s="523"/>
      <c r="X150" s="523"/>
      <c r="AB150" s="519"/>
      <c r="AC150" s="519"/>
    </row>
    <row r="151" spans="1:29" s="524" customFormat="1">
      <c r="A151" s="633"/>
      <c r="B151" s="522"/>
      <c r="C151" s="633"/>
      <c r="D151" s="633"/>
      <c r="E151" s="633"/>
      <c r="F151" s="633"/>
      <c r="G151" s="633"/>
      <c r="H151" s="633"/>
      <c r="I151" s="633"/>
      <c r="J151" s="633"/>
      <c r="K151" s="633"/>
      <c r="L151" s="633"/>
      <c r="M151" s="633"/>
      <c r="N151" s="633"/>
      <c r="O151" s="633"/>
      <c r="P151" s="633"/>
      <c r="Q151" s="633"/>
      <c r="R151" s="633"/>
      <c r="S151" s="633"/>
      <c r="T151" s="633"/>
      <c r="U151" s="523"/>
      <c r="V151" s="523"/>
      <c r="W151" s="523"/>
      <c r="X151" s="523"/>
      <c r="AB151" s="519"/>
      <c r="AC151" s="519"/>
    </row>
    <row r="152" spans="1:29" s="524" customFormat="1">
      <c r="A152" s="633"/>
      <c r="B152" s="522"/>
      <c r="C152" s="633"/>
      <c r="D152" s="633"/>
      <c r="E152" s="633"/>
      <c r="F152" s="633"/>
      <c r="G152" s="633"/>
      <c r="H152" s="633"/>
      <c r="I152" s="633"/>
      <c r="J152" s="633"/>
      <c r="K152" s="633"/>
      <c r="L152" s="633"/>
      <c r="M152" s="633"/>
      <c r="N152" s="633"/>
      <c r="O152" s="633"/>
      <c r="P152" s="633"/>
      <c r="Q152" s="633"/>
      <c r="R152" s="633"/>
      <c r="S152" s="633"/>
      <c r="T152" s="633"/>
      <c r="U152" s="523"/>
      <c r="V152" s="523"/>
      <c r="W152" s="523"/>
      <c r="X152" s="523"/>
      <c r="AB152" s="519"/>
      <c r="AC152" s="519"/>
    </row>
    <row r="153" spans="1:29" s="524" customFormat="1">
      <c r="A153" s="633"/>
      <c r="B153" s="522"/>
      <c r="C153" s="633"/>
      <c r="D153" s="633"/>
      <c r="E153" s="633"/>
      <c r="F153" s="633"/>
      <c r="G153" s="633"/>
      <c r="H153" s="633"/>
      <c r="I153" s="633"/>
      <c r="J153" s="633"/>
      <c r="K153" s="633"/>
      <c r="L153" s="633"/>
      <c r="M153" s="633"/>
      <c r="N153" s="633"/>
      <c r="O153" s="633"/>
      <c r="P153" s="633"/>
      <c r="Q153" s="633"/>
      <c r="R153" s="633"/>
      <c r="S153" s="633"/>
      <c r="T153" s="633"/>
      <c r="U153" s="523"/>
      <c r="V153" s="523"/>
      <c r="W153" s="523"/>
      <c r="X153" s="523"/>
      <c r="AB153" s="519"/>
      <c r="AC153" s="519"/>
    </row>
    <row r="154" spans="1:29" s="524" customFormat="1">
      <c r="A154" s="633"/>
      <c r="B154" s="522"/>
      <c r="C154" s="633"/>
      <c r="D154" s="633"/>
      <c r="E154" s="633"/>
      <c r="F154" s="633"/>
      <c r="G154" s="633"/>
      <c r="H154" s="633"/>
      <c r="I154" s="633"/>
      <c r="J154" s="633"/>
      <c r="K154" s="633"/>
      <c r="L154" s="633"/>
      <c r="M154" s="633"/>
      <c r="N154" s="633"/>
      <c r="O154" s="633"/>
      <c r="P154" s="633"/>
      <c r="Q154" s="633"/>
      <c r="R154" s="633"/>
      <c r="S154" s="633"/>
      <c r="T154" s="633"/>
      <c r="U154" s="523"/>
      <c r="V154" s="523"/>
      <c r="W154" s="523"/>
      <c r="X154" s="523"/>
      <c r="AB154" s="519"/>
      <c r="AC154" s="519"/>
    </row>
    <row r="155" spans="1:29" s="524" customFormat="1">
      <c r="A155" s="633"/>
      <c r="B155" s="522"/>
      <c r="C155" s="633"/>
      <c r="D155" s="633"/>
      <c r="E155" s="633"/>
      <c r="F155" s="633"/>
      <c r="G155" s="633"/>
      <c r="H155" s="633"/>
      <c r="I155" s="633"/>
      <c r="J155" s="633"/>
      <c r="K155" s="633"/>
      <c r="L155" s="633"/>
      <c r="M155" s="633"/>
      <c r="N155" s="633"/>
      <c r="O155" s="633"/>
      <c r="P155" s="633"/>
      <c r="Q155" s="633"/>
      <c r="R155" s="633"/>
      <c r="S155" s="633"/>
      <c r="T155" s="633"/>
      <c r="U155" s="523"/>
      <c r="V155" s="523"/>
      <c r="W155" s="523"/>
      <c r="X155" s="523"/>
      <c r="AB155" s="519"/>
      <c r="AC155" s="519"/>
    </row>
    <row r="156" spans="1:29" s="524" customFormat="1">
      <c r="A156" s="633"/>
      <c r="B156" s="522"/>
      <c r="C156" s="633"/>
      <c r="D156" s="633"/>
      <c r="E156" s="633"/>
      <c r="F156" s="633"/>
      <c r="G156" s="633"/>
      <c r="H156" s="633"/>
      <c r="I156" s="633"/>
      <c r="J156" s="633"/>
      <c r="K156" s="633"/>
      <c r="L156" s="633"/>
      <c r="M156" s="633"/>
      <c r="N156" s="633"/>
      <c r="O156" s="633"/>
      <c r="P156" s="633"/>
      <c r="Q156" s="633"/>
      <c r="R156" s="633"/>
      <c r="S156" s="633"/>
      <c r="T156" s="633"/>
      <c r="U156" s="523"/>
      <c r="V156" s="523"/>
      <c r="W156" s="523"/>
      <c r="X156" s="523"/>
      <c r="AB156" s="519"/>
      <c r="AC156" s="519"/>
    </row>
    <row r="157" spans="1:29" s="524" customFormat="1">
      <c r="A157" s="633"/>
      <c r="B157" s="522"/>
      <c r="C157" s="633"/>
      <c r="D157" s="633"/>
      <c r="E157" s="633"/>
      <c r="F157" s="633"/>
      <c r="G157" s="633"/>
      <c r="H157" s="633"/>
      <c r="I157" s="633"/>
      <c r="J157" s="633"/>
      <c r="K157" s="633"/>
      <c r="L157" s="633"/>
      <c r="M157" s="633"/>
      <c r="N157" s="633"/>
      <c r="O157" s="633"/>
      <c r="P157" s="633"/>
      <c r="Q157" s="633"/>
      <c r="R157" s="633"/>
      <c r="S157" s="633"/>
      <c r="T157" s="633"/>
      <c r="U157" s="523"/>
      <c r="V157" s="523"/>
      <c r="W157" s="523"/>
      <c r="X157" s="523"/>
      <c r="AB157" s="519"/>
      <c r="AC157" s="519"/>
    </row>
    <row r="158" spans="1:29" s="524" customFormat="1">
      <c r="A158" s="633"/>
      <c r="B158" s="522"/>
      <c r="C158" s="633"/>
      <c r="D158" s="633"/>
      <c r="E158" s="633"/>
      <c r="F158" s="633"/>
      <c r="G158" s="633"/>
      <c r="H158" s="633"/>
      <c r="I158" s="633"/>
      <c r="J158" s="633"/>
      <c r="K158" s="633"/>
      <c r="L158" s="633"/>
      <c r="M158" s="633"/>
      <c r="N158" s="633"/>
      <c r="O158" s="633"/>
      <c r="P158" s="633"/>
      <c r="Q158" s="633"/>
      <c r="R158" s="633"/>
      <c r="S158" s="633"/>
      <c r="T158" s="633"/>
      <c r="U158" s="523"/>
      <c r="V158" s="523"/>
      <c r="W158" s="523"/>
      <c r="X158" s="523"/>
      <c r="AB158" s="519"/>
      <c r="AC158" s="519"/>
    </row>
    <row r="159" spans="1:29" s="524" customFormat="1">
      <c r="A159" s="633"/>
      <c r="B159" s="522"/>
      <c r="C159" s="633"/>
      <c r="D159" s="633"/>
      <c r="E159" s="633"/>
      <c r="F159" s="633"/>
      <c r="G159" s="633"/>
      <c r="H159" s="633"/>
      <c r="I159" s="633"/>
      <c r="J159" s="633"/>
      <c r="K159" s="633"/>
      <c r="L159" s="633"/>
      <c r="M159" s="633"/>
      <c r="N159" s="633"/>
      <c r="O159" s="633"/>
      <c r="P159" s="633"/>
      <c r="Q159" s="633"/>
      <c r="R159" s="633"/>
      <c r="S159" s="633"/>
      <c r="T159" s="633"/>
      <c r="U159" s="523"/>
      <c r="V159" s="523"/>
      <c r="W159" s="523"/>
      <c r="X159" s="523"/>
      <c r="AB159" s="519"/>
      <c r="AC159" s="519"/>
    </row>
    <row r="160" spans="1:29" s="524" customFormat="1">
      <c r="A160" s="633"/>
      <c r="B160" s="522"/>
      <c r="C160" s="633"/>
      <c r="D160" s="633"/>
      <c r="E160" s="633"/>
      <c r="F160" s="633"/>
      <c r="G160" s="633"/>
      <c r="H160" s="633"/>
      <c r="I160" s="633"/>
      <c r="J160" s="633"/>
      <c r="K160" s="633"/>
      <c r="L160" s="633"/>
      <c r="M160" s="633"/>
      <c r="N160" s="633"/>
      <c r="O160" s="633"/>
      <c r="P160" s="633"/>
      <c r="Q160" s="633"/>
      <c r="R160" s="633"/>
      <c r="S160" s="633"/>
      <c r="T160" s="633"/>
      <c r="U160" s="523"/>
      <c r="V160" s="523"/>
      <c r="W160" s="523"/>
      <c r="X160" s="523"/>
      <c r="AB160" s="519"/>
      <c r="AC160" s="519"/>
    </row>
    <row r="161" spans="1:29" s="524" customFormat="1">
      <c r="A161" s="633"/>
      <c r="B161" s="522"/>
      <c r="C161" s="633"/>
      <c r="D161" s="633"/>
      <c r="E161" s="633"/>
      <c r="F161" s="633"/>
      <c r="G161" s="633"/>
      <c r="H161" s="633"/>
      <c r="I161" s="633"/>
      <c r="J161" s="633"/>
      <c r="K161" s="633"/>
      <c r="L161" s="633"/>
      <c r="M161" s="633"/>
      <c r="N161" s="633"/>
      <c r="O161" s="633"/>
      <c r="P161" s="633"/>
      <c r="Q161" s="633"/>
      <c r="R161" s="633"/>
      <c r="S161" s="633"/>
      <c r="T161" s="633"/>
      <c r="U161" s="523"/>
      <c r="V161" s="523"/>
      <c r="W161" s="523"/>
      <c r="X161" s="523"/>
      <c r="AB161" s="519"/>
      <c r="AC161" s="519"/>
    </row>
    <row r="162" spans="1:29" s="524" customFormat="1">
      <c r="A162" s="633"/>
      <c r="B162" s="522"/>
      <c r="C162" s="633"/>
      <c r="D162" s="633"/>
      <c r="E162" s="633"/>
      <c r="F162" s="633"/>
      <c r="G162" s="633"/>
      <c r="H162" s="633"/>
      <c r="I162" s="633"/>
      <c r="J162" s="633"/>
      <c r="K162" s="633"/>
      <c r="L162" s="633"/>
      <c r="M162" s="633"/>
      <c r="N162" s="633"/>
      <c r="O162" s="633"/>
      <c r="P162" s="633"/>
      <c r="Q162" s="633"/>
      <c r="R162" s="633"/>
      <c r="S162" s="633"/>
      <c r="T162" s="633"/>
      <c r="U162" s="523"/>
      <c r="V162" s="523"/>
      <c r="W162" s="523"/>
      <c r="X162" s="523"/>
      <c r="AB162" s="519"/>
      <c r="AC162" s="519"/>
    </row>
    <row r="163" spans="1:29" s="524" customFormat="1">
      <c r="A163" s="633"/>
      <c r="B163" s="522"/>
      <c r="C163" s="633"/>
      <c r="D163" s="633"/>
      <c r="E163" s="633"/>
      <c r="F163" s="633"/>
      <c r="G163" s="633"/>
      <c r="H163" s="633"/>
      <c r="I163" s="633"/>
      <c r="J163" s="633"/>
      <c r="K163" s="633"/>
      <c r="L163" s="633"/>
      <c r="M163" s="633"/>
      <c r="N163" s="633"/>
      <c r="O163" s="633"/>
      <c r="P163" s="633"/>
      <c r="Q163" s="633"/>
      <c r="R163" s="633"/>
      <c r="S163" s="633"/>
      <c r="T163" s="633"/>
      <c r="U163" s="523"/>
      <c r="V163" s="523"/>
      <c r="W163" s="523"/>
      <c r="X163" s="523"/>
      <c r="AB163" s="519"/>
      <c r="AC163" s="519"/>
    </row>
    <row r="164" spans="1:29" s="524" customFormat="1">
      <c r="A164" s="633"/>
      <c r="B164" s="522"/>
      <c r="C164" s="633"/>
      <c r="D164" s="633"/>
      <c r="E164" s="633"/>
      <c r="F164" s="633"/>
      <c r="G164" s="633"/>
      <c r="H164" s="633"/>
      <c r="I164" s="633"/>
      <c r="J164" s="633"/>
      <c r="K164" s="633"/>
      <c r="L164" s="633"/>
      <c r="M164" s="633"/>
      <c r="N164" s="633"/>
      <c r="O164" s="633"/>
      <c r="P164" s="633"/>
      <c r="Q164" s="633"/>
      <c r="R164" s="633"/>
      <c r="S164" s="633"/>
      <c r="T164" s="633"/>
      <c r="U164" s="523"/>
      <c r="V164" s="523"/>
      <c r="W164" s="523"/>
      <c r="X164" s="523"/>
      <c r="AB164" s="519"/>
      <c r="AC164" s="519"/>
    </row>
    <row r="165" spans="1:29" s="524" customFormat="1">
      <c r="A165" s="633"/>
      <c r="B165" s="522"/>
      <c r="C165" s="633"/>
      <c r="D165" s="633"/>
      <c r="E165" s="633"/>
      <c r="F165" s="633"/>
      <c r="G165" s="633"/>
      <c r="H165" s="633"/>
      <c r="I165" s="633"/>
      <c r="J165" s="633"/>
      <c r="K165" s="633"/>
      <c r="L165" s="633"/>
      <c r="M165" s="633"/>
      <c r="N165" s="633"/>
      <c r="O165" s="633"/>
      <c r="P165" s="633"/>
      <c r="Q165" s="633"/>
      <c r="R165" s="633"/>
      <c r="S165" s="633"/>
      <c r="T165" s="633"/>
      <c r="U165" s="523"/>
      <c r="V165" s="523"/>
      <c r="W165" s="523"/>
      <c r="X165" s="523"/>
      <c r="AB165" s="519"/>
      <c r="AC165" s="519"/>
    </row>
    <row r="166" spans="1:29" s="524" customFormat="1">
      <c r="A166" s="633"/>
      <c r="B166" s="522"/>
      <c r="C166" s="633"/>
      <c r="D166" s="633"/>
      <c r="E166" s="633"/>
      <c r="F166" s="633"/>
      <c r="G166" s="633"/>
      <c r="H166" s="633"/>
      <c r="I166" s="633"/>
      <c r="J166" s="633"/>
      <c r="K166" s="633"/>
      <c r="L166" s="633"/>
      <c r="M166" s="633"/>
      <c r="N166" s="633"/>
      <c r="O166" s="633"/>
      <c r="P166" s="633"/>
      <c r="Q166" s="633"/>
      <c r="R166" s="633"/>
      <c r="S166" s="633"/>
      <c r="T166" s="633"/>
      <c r="U166" s="523"/>
      <c r="V166" s="523"/>
      <c r="W166" s="523"/>
      <c r="X166" s="523"/>
      <c r="AB166" s="519"/>
      <c r="AC166" s="519"/>
    </row>
    <row r="167" spans="1:29" s="524" customFormat="1">
      <c r="A167" s="633"/>
      <c r="B167" s="522"/>
      <c r="C167" s="633"/>
      <c r="D167" s="633"/>
      <c r="E167" s="633"/>
      <c r="F167" s="633"/>
      <c r="G167" s="633"/>
      <c r="H167" s="633"/>
      <c r="I167" s="633"/>
      <c r="J167" s="633"/>
      <c r="K167" s="633"/>
      <c r="L167" s="633"/>
      <c r="M167" s="633"/>
      <c r="N167" s="633"/>
      <c r="O167" s="633"/>
      <c r="P167" s="633"/>
      <c r="Q167" s="633"/>
      <c r="R167" s="633"/>
      <c r="S167" s="633"/>
      <c r="T167" s="633"/>
      <c r="U167" s="523"/>
      <c r="V167" s="523"/>
      <c r="W167" s="523"/>
      <c r="X167" s="523"/>
      <c r="AB167" s="519"/>
      <c r="AC167" s="519"/>
    </row>
  </sheetData>
  <mergeCells count="97">
    <mergeCell ref="A1:Y1"/>
    <mergeCell ref="A2:Y2"/>
    <mergeCell ref="A4:A6"/>
    <mergeCell ref="B4:B6"/>
    <mergeCell ref="C4:E4"/>
    <mergeCell ref="F4:H4"/>
    <mergeCell ref="I4:K4"/>
    <mergeCell ref="L4:N4"/>
    <mergeCell ref="O4:Q4"/>
    <mergeCell ref="R4:T4"/>
    <mergeCell ref="AA4:AA6"/>
    <mergeCell ref="AB4:AB6"/>
    <mergeCell ref="AC4:AC6"/>
    <mergeCell ref="C5:E5"/>
    <mergeCell ref="F5:H5"/>
    <mergeCell ref="I5:K5"/>
    <mergeCell ref="L5:N5"/>
    <mergeCell ref="O5:Q5"/>
    <mergeCell ref="R5:T5"/>
    <mergeCell ref="U4:U6"/>
    <mergeCell ref="V4:V6"/>
    <mergeCell ref="W4:W6"/>
    <mergeCell ref="X4:X6"/>
    <mergeCell ref="Y4:Y6"/>
    <mergeCell ref="Z4:Z6"/>
    <mergeCell ref="AA7:AA11"/>
    <mergeCell ref="AC7:AC11"/>
    <mergeCell ref="A12:A67"/>
    <mergeCell ref="U12:U67"/>
    <mergeCell ref="V12:V67"/>
    <mergeCell ref="W12:W67"/>
    <mergeCell ref="X12:X67"/>
    <mergeCell ref="Y12:Y67"/>
    <mergeCell ref="AA12:AA67"/>
    <mergeCell ref="AC12:AC67"/>
    <mergeCell ref="A7:A11"/>
    <mergeCell ref="U7:U11"/>
    <mergeCell ref="V7:V11"/>
    <mergeCell ref="W7:W11"/>
    <mergeCell ref="X7:X11"/>
    <mergeCell ref="Y7:Y11"/>
    <mergeCell ref="AA68:AA85"/>
    <mergeCell ref="AC68:AC85"/>
    <mergeCell ref="A86:A92"/>
    <mergeCell ref="U86:U92"/>
    <mergeCell ref="V86:V92"/>
    <mergeCell ref="W86:W92"/>
    <mergeCell ref="X86:X92"/>
    <mergeCell ref="Y86:Y92"/>
    <mergeCell ref="AA86:AA92"/>
    <mergeCell ref="AC86:AC92"/>
    <mergeCell ref="A68:A85"/>
    <mergeCell ref="U68:U85"/>
    <mergeCell ref="V68:V85"/>
    <mergeCell ref="W68:W85"/>
    <mergeCell ref="X68:X85"/>
    <mergeCell ref="Y68:Y85"/>
    <mergeCell ref="AA93:AA110"/>
    <mergeCell ref="AC93:AC110"/>
    <mergeCell ref="A114:A119"/>
    <mergeCell ref="U114:U119"/>
    <mergeCell ref="V114:V119"/>
    <mergeCell ref="W114:W119"/>
    <mergeCell ref="X114:X119"/>
    <mergeCell ref="Y114:Y119"/>
    <mergeCell ref="AA114:AA119"/>
    <mergeCell ref="AC114:AC119"/>
    <mergeCell ref="A93:A110"/>
    <mergeCell ref="U93:U110"/>
    <mergeCell ref="V93:V110"/>
    <mergeCell ref="W93:W110"/>
    <mergeCell ref="X93:X110"/>
    <mergeCell ref="Y93:Y110"/>
    <mergeCell ref="AA121:AA124"/>
    <mergeCell ref="AC121:AC124"/>
    <mergeCell ref="A125:A127"/>
    <mergeCell ref="U125:U127"/>
    <mergeCell ref="V125:V127"/>
    <mergeCell ref="W125:W127"/>
    <mergeCell ref="X125:X127"/>
    <mergeCell ref="Y125:Y127"/>
    <mergeCell ref="AA125:AA127"/>
    <mergeCell ref="AC125:AC127"/>
    <mergeCell ref="A121:A124"/>
    <mergeCell ref="U121:U124"/>
    <mergeCell ref="V121:V124"/>
    <mergeCell ref="W121:W124"/>
    <mergeCell ref="X121:X124"/>
    <mergeCell ref="Y121:Y124"/>
    <mergeCell ref="AB133:AB134"/>
    <mergeCell ref="AC133:AC134"/>
    <mergeCell ref="A133:A134"/>
    <mergeCell ref="U133:U134"/>
    <mergeCell ref="V133:V134"/>
    <mergeCell ref="W133:W134"/>
    <mergeCell ref="X133:X134"/>
    <mergeCell ref="Y133:Y134"/>
  </mergeCells>
  <pageMargins left="0.23622047244094491" right="0.23622047244094491" top="0.59055118110236227" bottom="0.59055118110236227" header="0.23622047244094491" footer="0.39370078740157483"/>
  <pageSetup paperSize="9" scale="55" orientation="portrait" r:id="rId1"/>
  <headerFooter>
    <oddHeader>&amp;LVeresegyház Város Önkormányzat</oddHeader>
    <oddFooter>&amp;LVeresegyház, 2013. Augusztus 05.&amp;C&amp;P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AC79"/>
  <sheetViews>
    <sheetView view="pageLayout" topLeftCell="A34" zoomScaleSheetLayoutView="100" workbookViewId="0">
      <selection activeCell="A42" sqref="A42:Y42"/>
    </sheetView>
  </sheetViews>
  <sheetFormatPr defaultColWidth="9.109375" defaultRowHeight="12" outlineLevelCol="1"/>
  <cols>
    <col min="1" max="1" width="10.44140625" style="519" customWidth="1"/>
    <col min="2" max="2" width="42.109375" style="522" customWidth="1"/>
    <col min="3" max="3" width="6.33203125" style="519" hidden="1" customWidth="1" outlineLevel="1"/>
    <col min="4" max="4" width="5.6640625" style="519" hidden="1" customWidth="1" outlineLevel="1"/>
    <col min="5" max="5" width="10.88671875" style="519" customWidth="1" collapsed="1"/>
    <col min="6" max="6" width="6.5546875" style="519" hidden="1" customWidth="1" outlineLevel="1"/>
    <col min="7" max="7" width="5.6640625" style="519" hidden="1" customWidth="1" outlineLevel="1"/>
    <col min="8" max="8" width="10" style="519" hidden="1" customWidth="1" outlineLevel="1"/>
    <col min="9" max="9" width="8.6640625" style="519" hidden="1" customWidth="1" outlineLevel="1" collapsed="1"/>
    <col min="10" max="10" width="5.6640625" style="519" hidden="1" customWidth="1" outlineLevel="1"/>
    <col min="11" max="11" width="11.33203125" style="519" customWidth="1" collapsed="1"/>
    <col min="12" max="12" width="6.88671875" style="519" hidden="1" customWidth="1" outlineLevel="1"/>
    <col min="13" max="13" width="6.44140625" style="519" hidden="1" customWidth="1" outlineLevel="1"/>
    <col min="14" max="14" width="11.6640625" style="519" customWidth="1" collapsed="1"/>
    <col min="15" max="17" width="9.44140625" style="519" hidden="1" customWidth="1" outlineLevel="1"/>
    <col min="18" max="18" width="9.44140625" style="519" hidden="1" customWidth="1" outlineLevel="1" collapsed="1"/>
    <col min="19" max="19" width="9.44140625" style="519" hidden="1" customWidth="1" outlineLevel="1"/>
    <col min="20" max="20" width="9.44140625" style="519" customWidth="1" collapsed="1"/>
    <col min="21" max="21" width="11" style="523" customWidth="1"/>
    <col min="22" max="22" width="11.5546875" style="523" customWidth="1"/>
    <col min="23" max="24" width="10.88671875" style="523" customWidth="1"/>
    <col min="25" max="25" width="13.44140625" style="523" customWidth="1"/>
    <col min="26" max="27" width="13.44140625" style="523" hidden="1" customWidth="1" outlineLevel="1"/>
    <col min="28" max="28" width="13.44140625" style="523" customWidth="1" collapsed="1"/>
    <col min="29" max="29" width="10.6640625" style="519" customWidth="1"/>
    <col min="30" max="16384" width="9.109375" style="519"/>
  </cols>
  <sheetData>
    <row r="1" spans="1:29">
      <c r="A1" s="524"/>
    </row>
    <row r="2" spans="1:29" ht="14.4">
      <c r="A2" s="864" t="s">
        <v>509</v>
      </c>
      <c r="B2" s="864"/>
      <c r="C2" s="864"/>
      <c r="D2" s="864"/>
      <c r="E2" s="864"/>
      <c r="F2" s="864"/>
      <c r="G2" s="864"/>
      <c r="H2" s="864"/>
      <c r="I2" s="864"/>
      <c r="J2" s="864"/>
      <c r="K2" s="864"/>
      <c r="L2" s="864"/>
      <c r="M2" s="864"/>
      <c r="N2" s="864"/>
      <c r="O2" s="864"/>
      <c r="P2" s="864"/>
      <c r="Q2" s="864"/>
      <c r="R2" s="864"/>
      <c r="S2" s="864"/>
      <c r="T2" s="864"/>
      <c r="U2" s="864"/>
      <c r="V2" s="864"/>
      <c r="W2" s="864"/>
      <c r="X2" s="864"/>
      <c r="Y2" s="864"/>
      <c r="Z2" s="634"/>
      <c r="AA2" s="634"/>
      <c r="AB2" s="634"/>
      <c r="AC2" s="635" t="s">
        <v>736</v>
      </c>
    </row>
    <row r="3" spans="1:29" ht="14.4">
      <c r="A3" s="865">
        <v>41455</v>
      </c>
      <c r="B3" s="864"/>
      <c r="C3" s="864"/>
      <c r="D3" s="864"/>
      <c r="E3" s="864"/>
      <c r="F3" s="864"/>
      <c r="G3" s="864"/>
      <c r="H3" s="864"/>
      <c r="I3" s="864"/>
      <c r="J3" s="864"/>
      <c r="K3" s="864"/>
      <c r="L3" s="864"/>
      <c r="M3" s="864"/>
      <c r="N3" s="864"/>
      <c r="O3" s="864"/>
      <c r="P3" s="864"/>
      <c r="Q3" s="864"/>
      <c r="R3" s="864"/>
      <c r="S3" s="864"/>
      <c r="T3" s="864"/>
      <c r="U3" s="864"/>
      <c r="V3" s="864"/>
      <c r="W3" s="864"/>
      <c r="X3" s="864"/>
      <c r="Y3" s="864"/>
      <c r="Z3" s="634"/>
      <c r="AA3" s="634"/>
      <c r="AB3" s="634"/>
    </row>
    <row r="4" spans="1:29" ht="13.8">
      <c r="A4" s="524"/>
      <c r="K4" s="636"/>
    </row>
    <row r="5" spans="1:29">
      <c r="A5" s="524"/>
    </row>
    <row r="6" spans="1:29" ht="12.6" thickBot="1">
      <c r="A6" s="575"/>
      <c r="B6" s="637"/>
      <c r="C6" s="575"/>
      <c r="D6" s="575"/>
      <c r="E6" s="575"/>
      <c r="F6" s="575"/>
      <c r="G6" s="575"/>
      <c r="H6" s="575"/>
      <c r="I6" s="575"/>
      <c r="J6" s="575"/>
      <c r="K6" s="575"/>
      <c r="L6" s="575"/>
      <c r="M6" s="575"/>
      <c r="N6" s="575"/>
      <c r="O6" s="575"/>
      <c r="P6" s="575"/>
      <c r="Q6" s="575"/>
      <c r="R6" s="575"/>
      <c r="S6" s="575"/>
      <c r="T6" s="575"/>
      <c r="AC6" s="635" t="s">
        <v>0</v>
      </c>
    </row>
    <row r="7" spans="1:29" ht="15" customHeight="1">
      <c r="A7" s="836" t="s">
        <v>232</v>
      </c>
      <c r="B7" s="839" t="s">
        <v>701</v>
      </c>
      <c r="C7" s="842" t="s">
        <v>231</v>
      </c>
      <c r="D7" s="842"/>
      <c r="E7" s="842"/>
      <c r="F7" s="843" t="s">
        <v>599</v>
      </c>
      <c r="G7" s="843"/>
      <c r="H7" s="843"/>
      <c r="I7" s="843" t="s">
        <v>525</v>
      </c>
      <c r="J7" s="843"/>
      <c r="K7" s="843"/>
      <c r="L7" s="842" t="s">
        <v>231</v>
      </c>
      <c r="M7" s="842"/>
      <c r="N7" s="842"/>
      <c r="O7" s="843" t="s">
        <v>524</v>
      </c>
      <c r="P7" s="843"/>
      <c r="Q7" s="843"/>
      <c r="R7" s="843" t="s">
        <v>525</v>
      </c>
      <c r="S7" s="843"/>
      <c r="T7" s="843"/>
      <c r="U7" s="826" t="s">
        <v>600</v>
      </c>
      <c r="V7" s="826" t="s">
        <v>601</v>
      </c>
      <c r="W7" s="826" t="s">
        <v>602</v>
      </c>
      <c r="X7" s="826" t="s">
        <v>603</v>
      </c>
      <c r="Y7" s="861" t="s">
        <v>604</v>
      </c>
      <c r="Z7" s="833" t="s">
        <v>758</v>
      </c>
      <c r="AA7" s="816" t="s">
        <v>758</v>
      </c>
      <c r="AB7" s="820" t="s">
        <v>758</v>
      </c>
      <c r="AC7" s="820" t="s">
        <v>758</v>
      </c>
    </row>
    <row r="8" spans="1:29" ht="12" customHeight="1">
      <c r="A8" s="837"/>
      <c r="B8" s="840"/>
      <c r="C8" s="823" t="s">
        <v>229</v>
      </c>
      <c r="D8" s="824"/>
      <c r="E8" s="825"/>
      <c r="F8" s="823" t="s">
        <v>229</v>
      </c>
      <c r="G8" s="824"/>
      <c r="H8" s="825"/>
      <c r="I8" s="823" t="s">
        <v>229</v>
      </c>
      <c r="J8" s="824"/>
      <c r="K8" s="825"/>
      <c r="L8" s="823" t="s">
        <v>230</v>
      </c>
      <c r="M8" s="824"/>
      <c r="N8" s="825"/>
      <c r="O8" s="823" t="s">
        <v>230</v>
      </c>
      <c r="P8" s="824"/>
      <c r="Q8" s="825"/>
      <c r="R8" s="823" t="s">
        <v>230</v>
      </c>
      <c r="S8" s="824"/>
      <c r="T8" s="825"/>
      <c r="U8" s="827"/>
      <c r="V8" s="827"/>
      <c r="W8" s="827"/>
      <c r="X8" s="827"/>
      <c r="Y8" s="862"/>
      <c r="Z8" s="833"/>
      <c r="AA8" s="816"/>
      <c r="AB8" s="821"/>
      <c r="AC8" s="821"/>
    </row>
    <row r="9" spans="1:29" ht="42.75" customHeight="1" thickBot="1">
      <c r="A9" s="838"/>
      <c r="B9" s="841"/>
      <c r="C9" s="526" t="s">
        <v>228</v>
      </c>
      <c r="D9" s="526" t="s">
        <v>227</v>
      </c>
      <c r="E9" s="526" t="s">
        <v>226</v>
      </c>
      <c r="F9" s="526" t="s">
        <v>228</v>
      </c>
      <c r="G9" s="526" t="s">
        <v>227</v>
      </c>
      <c r="H9" s="526" t="s">
        <v>226</v>
      </c>
      <c r="I9" s="526" t="s">
        <v>228</v>
      </c>
      <c r="J9" s="526" t="s">
        <v>227</v>
      </c>
      <c r="K9" s="526" t="s">
        <v>226</v>
      </c>
      <c r="L9" s="526" t="s">
        <v>228</v>
      </c>
      <c r="M9" s="526" t="s">
        <v>227</v>
      </c>
      <c r="N9" s="526" t="s">
        <v>226</v>
      </c>
      <c r="O9" s="526" t="s">
        <v>228</v>
      </c>
      <c r="P9" s="526" t="s">
        <v>227</v>
      </c>
      <c r="Q9" s="526" t="s">
        <v>226</v>
      </c>
      <c r="R9" s="526" t="s">
        <v>228</v>
      </c>
      <c r="S9" s="526" t="s">
        <v>227</v>
      </c>
      <c r="T9" s="526" t="s">
        <v>226</v>
      </c>
      <c r="U9" s="828"/>
      <c r="V9" s="828"/>
      <c r="W9" s="828"/>
      <c r="X9" s="828"/>
      <c r="Y9" s="863"/>
      <c r="Z9" s="833"/>
      <c r="AA9" s="816"/>
      <c r="AB9" s="860"/>
      <c r="AC9" s="860"/>
    </row>
    <row r="10" spans="1:29" ht="42.75" customHeight="1" thickBot="1">
      <c r="A10" s="638" t="s">
        <v>273</v>
      </c>
      <c r="B10" s="639" t="s">
        <v>225</v>
      </c>
      <c r="C10" s="640"/>
      <c r="D10" s="640"/>
      <c r="E10" s="640"/>
      <c r="F10" s="640"/>
      <c r="G10" s="640"/>
      <c r="H10" s="640"/>
      <c r="I10" s="640"/>
      <c r="J10" s="640"/>
      <c r="K10" s="640"/>
      <c r="L10" s="627">
        <v>20000</v>
      </c>
      <c r="M10" s="627">
        <f>L10*0.27</f>
        <v>5400</v>
      </c>
      <c r="N10" s="627">
        <f>SUM(L10:M10)</f>
        <v>25400</v>
      </c>
      <c r="O10" s="641">
        <f t="shared" ref="O10:Q10" si="0">R10-L10</f>
        <v>0</v>
      </c>
      <c r="P10" s="641">
        <f t="shared" si="0"/>
        <v>0</v>
      </c>
      <c r="Q10" s="641">
        <f t="shared" si="0"/>
        <v>0</v>
      </c>
      <c r="R10" s="641">
        <v>20000</v>
      </c>
      <c r="S10" s="641">
        <v>5400</v>
      </c>
      <c r="T10" s="642">
        <v>25400</v>
      </c>
      <c r="U10" s="643">
        <f>SUM(E10)</f>
        <v>0</v>
      </c>
      <c r="V10" s="644">
        <f>SUM(K10)</f>
        <v>0</v>
      </c>
      <c r="W10" s="643">
        <f>SUM(N10)</f>
        <v>25400</v>
      </c>
      <c r="X10" s="643">
        <f>SUM(T10)</f>
        <v>25400</v>
      </c>
      <c r="Y10" s="644">
        <f>SUM(X10,V10)</f>
        <v>25400</v>
      </c>
      <c r="Z10" s="645">
        <v>2019402</v>
      </c>
      <c r="AA10" s="646">
        <f>SUM(Z10)</f>
        <v>2019402</v>
      </c>
      <c r="AB10" s="647">
        <f>Z10/1000</f>
        <v>2019.402</v>
      </c>
      <c r="AC10" s="648">
        <f>SUM(AB10)</f>
        <v>2019.402</v>
      </c>
    </row>
    <row r="11" spans="1:29" ht="31.5" customHeight="1" thickBot="1">
      <c r="A11" s="649" t="s">
        <v>256</v>
      </c>
      <c r="B11" s="650" t="s">
        <v>702</v>
      </c>
      <c r="C11" s="554"/>
      <c r="D11" s="554"/>
      <c r="E11" s="554"/>
      <c r="F11" s="554">
        <f t="shared" ref="F11:H26" si="1">I11-C11</f>
        <v>632</v>
      </c>
      <c r="G11" s="554">
        <f t="shared" si="1"/>
        <v>171</v>
      </c>
      <c r="H11" s="554">
        <f t="shared" si="1"/>
        <v>803</v>
      </c>
      <c r="I11" s="554">
        <v>632</v>
      </c>
      <c r="J11" s="554">
        <v>171</v>
      </c>
      <c r="K11" s="554">
        <v>803</v>
      </c>
      <c r="L11" s="554"/>
      <c r="M11" s="554"/>
      <c r="N11" s="554"/>
      <c r="O11" s="554"/>
      <c r="P11" s="554"/>
      <c r="Q11" s="554"/>
      <c r="R11" s="554"/>
      <c r="S11" s="554"/>
      <c r="T11" s="554"/>
      <c r="U11" s="651">
        <f>SUM(E11)</f>
        <v>0</v>
      </c>
      <c r="V11" s="652">
        <f>SUM(K11)</f>
        <v>803</v>
      </c>
      <c r="W11" s="651">
        <f>SUM(N11)</f>
        <v>0</v>
      </c>
      <c r="X11" s="651">
        <f>SUM(T11)</f>
        <v>0</v>
      </c>
      <c r="Y11" s="652">
        <f>SUM(X11,V11)</f>
        <v>803</v>
      </c>
      <c r="Z11" s="653">
        <v>802132</v>
      </c>
      <c r="AA11" s="646">
        <f>SUM(Z11)</f>
        <v>802132</v>
      </c>
      <c r="AB11" s="647">
        <f t="shared" ref="AB11:AB36" si="2">Z11/1000</f>
        <v>802.13199999999995</v>
      </c>
      <c r="AC11" s="648">
        <f>SUM(AB11)</f>
        <v>802.13199999999995</v>
      </c>
    </row>
    <row r="12" spans="1:29" ht="18.899999999999999" customHeight="1">
      <c r="A12" s="792" t="s">
        <v>703</v>
      </c>
      <c r="B12" s="614" t="s">
        <v>704</v>
      </c>
      <c r="C12" s="598"/>
      <c r="D12" s="598"/>
      <c r="E12" s="598"/>
      <c r="F12" s="598">
        <f t="shared" si="1"/>
        <v>85</v>
      </c>
      <c r="G12" s="598">
        <f t="shared" si="1"/>
        <v>23</v>
      </c>
      <c r="H12" s="598">
        <f t="shared" si="1"/>
        <v>108</v>
      </c>
      <c r="I12" s="654">
        <v>85</v>
      </c>
      <c r="J12" s="654">
        <v>23</v>
      </c>
      <c r="K12" s="654">
        <v>108</v>
      </c>
      <c r="L12" s="654"/>
      <c r="M12" s="654"/>
      <c r="N12" s="654"/>
      <c r="O12" s="654"/>
      <c r="P12" s="654"/>
      <c r="Q12" s="654"/>
      <c r="R12" s="654"/>
      <c r="S12" s="654"/>
      <c r="T12" s="654"/>
      <c r="U12" s="782">
        <f>SUM(E12:E19)</f>
        <v>0</v>
      </c>
      <c r="V12" s="782">
        <f>SUM(K12:K19)</f>
        <v>405</v>
      </c>
      <c r="W12" s="782">
        <f>SUM(N12:N19)</f>
        <v>0</v>
      </c>
      <c r="X12" s="782">
        <f>SUM(T12:T19)</f>
        <v>0</v>
      </c>
      <c r="Y12" s="784">
        <f>SUM(X12,V12)</f>
        <v>405</v>
      </c>
      <c r="Z12" s="653">
        <v>107745</v>
      </c>
      <c r="AA12" s="849">
        <f>SUM(Z12:Z19)</f>
        <v>404737</v>
      </c>
      <c r="AB12" s="655">
        <f t="shared" si="2"/>
        <v>107.745</v>
      </c>
      <c r="AC12" s="858">
        <f>SUM(AB12:AB19)</f>
        <v>404.73699999999997</v>
      </c>
    </row>
    <row r="13" spans="1:29" ht="31.5" customHeight="1">
      <c r="A13" s="793"/>
      <c r="B13" s="543" t="s">
        <v>705</v>
      </c>
      <c r="C13" s="528"/>
      <c r="D13" s="528"/>
      <c r="E13" s="528"/>
      <c r="F13" s="528">
        <f t="shared" si="1"/>
        <v>3</v>
      </c>
      <c r="G13" s="528">
        <f t="shared" si="1"/>
        <v>1</v>
      </c>
      <c r="H13" s="528">
        <f t="shared" si="1"/>
        <v>4</v>
      </c>
      <c r="I13" s="534">
        <v>3</v>
      </c>
      <c r="J13" s="656">
        <v>1</v>
      </c>
      <c r="K13" s="534">
        <v>4</v>
      </c>
      <c r="L13" s="534"/>
      <c r="M13" s="656"/>
      <c r="N13" s="534"/>
      <c r="O13" s="534"/>
      <c r="P13" s="534"/>
      <c r="Q13" s="534"/>
      <c r="R13" s="534"/>
      <c r="S13" s="656"/>
      <c r="T13" s="534"/>
      <c r="U13" s="801"/>
      <c r="V13" s="801"/>
      <c r="W13" s="801"/>
      <c r="X13" s="801"/>
      <c r="Y13" s="803"/>
      <c r="Z13" s="653">
        <v>3555</v>
      </c>
      <c r="AA13" s="850"/>
      <c r="AB13" s="657">
        <f t="shared" si="2"/>
        <v>3.5550000000000002</v>
      </c>
      <c r="AC13" s="790"/>
    </row>
    <row r="14" spans="1:29" ht="31.5" customHeight="1">
      <c r="A14" s="793"/>
      <c r="B14" s="543" t="s">
        <v>706</v>
      </c>
      <c r="C14" s="528"/>
      <c r="D14" s="528"/>
      <c r="E14" s="528"/>
      <c r="F14" s="528">
        <f t="shared" si="1"/>
        <v>6</v>
      </c>
      <c r="G14" s="528">
        <f t="shared" si="1"/>
        <v>2</v>
      </c>
      <c r="H14" s="528">
        <f t="shared" si="1"/>
        <v>8</v>
      </c>
      <c r="I14" s="534">
        <v>6</v>
      </c>
      <c r="J14" s="534">
        <v>2</v>
      </c>
      <c r="K14" s="534">
        <v>8</v>
      </c>
      <c r="L14" s="534"/>
      <c r="M14" s="534"/>
      <c r="N14" s="534"/>
      <c r="O14" s="534"/>
      <c r="P14" s="534"/>
      <c r="Q14" s="534"/>
      <c r="R14" s="534"/>
      <c r="S14" s="534"/>
      <c r="T14" s="534"/>
      <c r="U14" s="801"/>
      <c r="V14" s="801"/>
      <c r="W14" s="801"/>
      <c r="X14" s="801"/>
      <c r="Y14" s="803"/>
      <c r="Z14" s="653">
        <v>8168</v>
      </c>
      <c r="AA14" s="850"/>
      <c r="AB14" s="657">
        <f t="shared" si="2"/>
        <v>8.1679999999999993</v>
      </c>
      <c r="AC14" s="790"/>
    </row>
    <row r="15" spans="1:29" ht="31.5" customHeight="1">
      <c r="A15" s="793"/>
      <c r="B15" s="543" t="s">
        <v>707</v>
      </c>
      <c r="C15" s="528"/>
      <c r="D15" s="528"/>
      <c r="E15" s="528"/>
      <c r="F15" s="528">
        <f t="shared" si="1"/>
        <v>4</v>
      </c>
      <c r="G15" s="528">
        <f t="shared" si="1"/>
        <v>1</v>
      </c>
      <c r="H15" s="528">
        <f t="shared" si="1"/>
        <v>5</v>
      </c>
      <c r="I15" s="534">
        <v>4</v>
      </c>
      <c r="J15" s="534">
        <v>1</v>
      </c>
      <c r="K15" s="534">
        <v>5</v>
      </c>
      <c r="L15" s="534"/>
      <c r="M15" s="534"/>
      <c r="N15" s="534"/>
      <c r="O15" s="534"/>
      <c r="P15" s="534"/>
      <c r="Q15" s="534"/>
      <c r="R15" s="534"/>
      <c r="S15" s="534"/>
      <c r="T15" s="534"/>
      <c r="U15" s="801"/>
      <c r="V15" s="801"/>
      <c r="W15" s="801"/>
      <c r="X15" s="801"/>
      <c r="Y15" s="803"/>
      <c r="Z15" s="653">
        <v>5000</v>
      </c>
      <c r="AA15" s="850"/>
      <c r="AB15" s="657">
        <f t="shared" si="2"/>
        <v>5</v>
      </c>
      <c r="AC15" s="790"/>
    </row>
    <row r="16" spans="1:29" ht="31.5" customHeight="1">
      <c r="A16" s="793"/>
      <c r="B16" s="543" t="s">
        <v>708</v>
      </c>
      <c r="C16" s="528"/>
      <c r="D16" s="528"/>
      <c r="E16" s="528"/>
      <c r="F16" s="528">
        <f t="shared" si="1"/>
        <v>43</v>
      </c>
      <c r="G16" s="528">
        <f t="shared" si="1"/>
        <v>11</v>
      </c>
      <c r="H16" s="528">
        <f t="shared" si="1"/>
        <v>54</v>
      </c>
      <c r="I16" s="534">
        <v>43</v>
      </c>
      <c r="J16" s="534">
        <v>11</v>
      </c>
      <c r="K16" s="534">
        <v>54</v>
      </c>
      <c r="L16" s="534"/>
      <c r="M16" s="534"/>
      <c r="N16" s="534"/>
      <c r="O16" s="534"/>
      <c r="P16" s="534"/>
      <c r="Q16" s="534"/>
      <c r="R16" s="534"/>
      <c r="S16" s="534"/>
      <c r="T16" s="534"/>
      <c r="U16" s="801"/>
      <c r="V16" s="801"/>
      <c r="W16" s="801"/>
      <c r="X16" s="801"/>
      <c r="Y16" s="803"/>
      <c r="Z16" s="653">
        <v>55080</v>
      </c>
      <c r="AA16" s="850"/>
      <c r="AB16" s="657">
        <f t="shared" si="2"/>
        <v>55.08</v>
      </c>
      <c r="AC16" s="790"/>
    </row>
    <row r="17" spans="1:29" ht="31.5" customHeight="1">
      <c r="A17" s="793"/>
      <c r="B17" s="543" t="s">
        <v>709</v>
      </c>
      <c r="C17" s="528"/>
      <c r="D17" s="528"/>
      <c r="E17" s="528"/>
      <c r="F17" s="528">
        <f t="shared" si="1"/>
        <v>11</v>
      </c>
      <c r="G17" s="528">
        <f t="shared" si="1"/>
        <v>3</v>
      </c>
      <c r="H17" s="528">
        <f t="shared" si="1"/>
        <v>14</v>
      </c>
      <c r="I17" s="534">
        <v>11</v>
      </c>
      <c r="J17" s="534">
        <v>3</v>
      </c>
      <c r="K17" s="534">
        <v>14</v>
      </c>
      <c r="L17" s="534"/>
      <c r="M17" s="534"/>
      <c r="N17" s="534"/>
      <c r="O17" s="534"/>
      <c r="P17" s="534"/>
      <c r="Q17" s="534"/>
      <c r="R17" s="534"/>
      <c r="S17" s="534"/>
      <c r="T17" s="534"/>
      <c r="U17" s="801"/>
      <c r="V17" s="801"/>
      <c r="W17" s="801"/>
      <c r="X17" s="801"/>
      <c r="Y17" s="803"/>
      <c r="Z17" s="653">
        <v>13260</v>
      </c>
      <c r="AA17" s="850"/>
      <c r="AB17" s="657">
        <f t="shared" si="2"/>
        <v>13.26</v>
      </c>
      <c r="AC17" s="790"/>
    </row>
    <row r="18" spans="1:29" ht="31.5" customHeight="1">
      <c r="A18" s="793"/>
      <c r="B18" s="543" t="s">
        <v>710</v>
      </c>
      <c r="C18" s="528"/>
      <c r="D18" s="528"/>
      <c r="E18" s="528"/>
      <c r="F18" s="528">
        <f t="shared" si="1"/>
        <v>34</v>
      </c>
      <c r="G18" s="528">
        <f t="shared" si="1"/>
        <v>9</v>
      </c>
      <c r="H18" s="528">
        <f t="shared" si="1"/>
        <v>43</v>
      </c>
      <c r="I18" s="534">
        <v>34</v>
      </c>
      <c r="J18" s="534">
        <v>9</v>
      </c>
      <c r="K18" s="534">
        <v>43</v>
      </c>
      <c r="L18" s="534"/>
      <c r="M18" s="534"/>
      <c r="N18" s="534"/>
      <c r="O18" s="534"/>
      <c r="P18" s="534"/>
      <c r="Q18" s="534"/>
      <c r="R18" s="534"/>
      <c r="S18" s="534"/>
      <c r="T18" s="534"/>
      <c r="U18" s="801"/>
      <c r="V18" s="801"/>
      <c r="W18" s="801"/>
      <c r="X18" s="801"/>
      <c r="Y18" s="803"/>
      <c r="Z18" s="653">
        <v>43140</v>
      </c>
      <c r="AA18" s="850"/>
      <c r="AB18" s="657">
        <f t="shared" si="2"/>
        <v>43.14</v>
      </c>
      <c r="AC18" s="790"/>
    </row>
    <row r="19" spans="1:29" ht="45" customHeight="1" thickBot="1">
      <c r="A19" s="794"/>
      <c r="B19" s="613" t="s">
        <v>711</v>
      </c>
      <c r="C19" s="658"/>
      <c r="D19" s="658"/>
      <c r="E19" s="658"/>
      <c r="F19" s="658">
        <f t="shared" si="1"/>
        <v>133</v>
      </c>
      <c r="G19" s="658">
        <f t="shared" si="1"/>
        <v>36</v>
      </c>
      <c r="H19" s="658">
        <f t="shared" si="1"/>
        <v>169</v>
      </c>
      <c r="I19" s="539">
        <v>133</v>
      </c>
      <c r="J19" s="539">
        <v>36</v>
      </c>
      <c r="K19" s="539">
        <v>169</v>
      </c>
      <c r="L19" s="539"/>
      <c r="M19" s="539"/>
      <c r="N19" s="539"/>
      <c r="O19" s="539"/>
      <c r="P19" s="539"/>
      <c r="Q19" s="539"/>
      <c r="R19" s="539"/>
      <c r="S19" s="539"/>
      <c r="T19" s="539"/>
      <c r="U19" s="783"/>
      <c r="V19" s="783"/>
      <c r="W19" s="783"/>
      <c r="X19" s="783"/>
      <c r="Y19" s="785"/>
      <c r="Z19" s="653">
        <v>168789</v>
      </c>
      <c r="AA19" s="850"/>
      <c r="AB19" s="659">
        <f t="shared" si="2"/>
        <v>168.78899999999999</v>
      </c>
      <c r="AC19" s="859"/>
    </row>
    <row r="20" spans="1:29" ht="31.5" customHeight="1">
      <c r="A20" s="792" t="s">
        <v>676</v>
      </c>
      <c r="B20" s="614" t="s">
        <v>712</v>
      </c>
      <c r="C20" s="569"/>
      <c r="D20" s="569"/>
      <c r="E20" s="569"/>
      <c r="F20" s="569">
        <f t="shared" si="1"/>
        <v>950</v>
      </c>
      <c r="G20" s="569">
        <f t="shared" si="1"/>
        <v>256</v>
      </c>
      <c r="H20" s="569">
        <f t="shared" si="1"/>
        <v>1206</v>
      </c>
      <c r="I20" s="569">
        <v>950</v>
      </c>
      <c r="J20" s="569">
        <v>256</v>
      </c>
      <c r="K20" s="569">
        <v>1206</v>
      </c>
      <c r="L20" s="569"/>
      <c r="M20" s="569"/>
      <c r="N20" s="569"/>
      <c r="O20" s="569"/>
      <c r="P20" s="569"/>
      <c r="Q20" s="569"/>
      <c r="R20" s="569"/>
      <c r="S20" s="569"/>
      <c r="T20" s="569"/>
      <c r="U20" s="801">
        <f>SUM(E20:E28)</f>
        <v>0</v>
      </c>
      <c r="V20" s="801">
        <f>SUM(K20:K28)</f>
        <v>78941</v>
      </c>
      <c r="W20" s="801">
        <f>SUM(N20:N28)</f>
        <v>0</v>
      </c>
      <c r="X20" s="801">
        <f>SUM(T20:T28)</f>
        <v>0</v>
      </c>
      <c r="Y20" s="784">
        <f>SUM(X20,V20)</f>
        <v>78941</v>
      </c>
      <c r="Z20" s="653">
        <v>0</v>
      </c>
      <c r="AA20" s="849">
        <f>SUM(Z20:Z28)</f>
        <v>10843170</v>
      </c>
      <c r="AB20" s="660">
        <f t="shared" si="2"/>
        <v>0</v>
      </c>
      <c r="AC20" s="789">
        <f>SUM(AB20:AB28)</f>
        <v>10843.17</v>
      </c>
    </row>
    <row r="21" spans="1:29" ht="18.899999999999999" customHeight="1">
      <c r="A21" s="793"/>
      <c r="B21" s="543" t="s">
        <v>713</v>
      </c>
      <c r="C21" s="535"/>
      <c r="D21" s="535"/>
      <c r="E21" s="535"/>
      <c r="F21" s="535">
        <f t="shared" si="1"/>
        <v>1887</v>
      </c>
      <c r="G21" s="535">
        <f t="shared" si="1"/>
        <v>0</v>
      </c>
      <c r="H21" s="535">
        <f t="shared" si="1"/>
        <v>1887</v>
      </c>
      <c r="I21" s="535">
        <v>1887</v>
      </c>
      <c r="J21" s="535">
        <v>0</v>
      </c>
      <c r="K21" s="535">
        <v>1887</v>
      </c>
      <c r="L21" s="535"/>
      <c r="M21" s="535"/>
      <c r="N21" s="535"/>
      <c r="O21" s="535"/>
      <c r="P21" s="535"/>
      <c r="Q21" s="535"/>
      <c r="R21" s="535"/>
      <c r="S21" s="535"/>
      <c r="T21" s="535"/>
      <c r="U21" s="801"/>
      <c r="V21" s="801"/>
      <c r="W21" s="801"/>
      <c r="X21" s="801"/>
      <c r="Y21" s="803"/>
      <c r="Z21" s="653">
        <v>566100</v>
      </c>
      <c r="AA21" s="849"/>
      <c r="AB21" s="657">
        <f t="shared" si="2"/>
        <v>566.1</v>
      </c>
      <c r="AC21" s="790"/>
    </row>
    <row r="22" spans="1:29" ht="31.5" customHeight="1">
      <c r="A22" s="793"/>
      <c r="B22" s="543" t="s">
        <v>714</v>
      </c>
      <c r="C22" s="535"/>
      <c r="D22" s="535"/>
      <c r="E22" s="535"/>
      <c r="F22" s="535">
        <f t="shared" si="1"/>
        <v>9999</v>
      </c>
      <c r="G22" s="535">
        <f t="shared" si="1"/>
        <v>0</v>
      </c>
      <c r="H22" s="535">
        <f t="shared" si="1"/>
        <v>9999</v>
      </c>
      <c r="I22" s="535">
        <v>9999</v>
      </c>
      <c r="J22" s="535">
        <v>0</v>
      </c>
      <c r="K22" s="535">
        <v>9999</v>
      </c>
      <c r="L22" s="535"/>
      <c r="M22" s="535"/>
      <c r="N22" s="535"/>
      <c r="O22" s="535"/>
      <c r="P22" s="535"/>
      <c r="Q22" s="535"/>
      <c r="R22" s="535"/>
      <c r="S22" s="535"/>
      <c r="T22" s="535"/>
      <c r="U22" s="801"/>
      <c r="V22" s="801"/>
      <c r="W22" s="801"/>
      <c r="X22" s="801"/>
      <c r="Y22" s="803"/>
      <c r="Z22" s="653">
        <v>3998200</v>
      </c>
      <c r="AA22" s="849"/>
      <c r="AB22" s="657">
        <f t="shared" si="2"/>
        <v>3998.2</v>
      </c>
      <c r="AC22" s="790"/>
    </row>
    <row r="23" spans="1:29" ht="24" customHeight="1">
      <c r="A23" s="793"/>
      <c r="B23" s="543" t="s">
        <v>715</v>
      </c>
      <c r="C23" s="535"/>
      <c r="D23" s="535"/>
      <c r="E23" s="535"/>
      <c r="F23" s="535">
        <f t="shared" si="1"/>
        <v>2370</v>
      </c>
      <c r="G23" s="535">
        <f t="shared" si="1"/>
        <v>640</v>
      </c>
      <c r="H23" s="535">
        <f t="shared" si="1"/>
        <v>3010</v>
      </c>
      <c r="I23" s="535">
        <v>2370</v>
      </c>
      <c r="J23" s="535">
        <v>640</v>
      </c>
      <c r="K23" s="535">
        <v>3010</v>
      </c>
      <c r="L23" s="535"/>
      <c r="M23" s="535"/>
      <c r="N23" s="535"/>
      <c r="O23" s="535"/>
      <c r="P23" s="535"/>
      <c r="Q23" s="535"/>
      <c r="R23" s="535"/>
      <c r="S23" s="535"/>
      <c r="T23" s="535"/>
      <c r="U23" s="801"/>
      <c r="V23" s="801"/>
      <c r="W23" s="801"/>
      <c r="X23" s="801"/>
      <c r="Y23" s="803"/>
      <c r="Z23" s="653">
        <v>902970</v>
      </c>
      <c r="AA23" s="849"/>
      <c r="AB23" s="657">
        <f t="shared" si="2"/>
        <v>902.97</v>
      </c>
      <c r="AC23" s="790"/>
    </row>
    <row r="24" spans="1:29" ht="34.5" customHeight="1">
      <c r="A24" s="793"/>
      <c r="B24" s="543" t="s">
        <v>716</v>
      </c>
      <c r="C24" s="535"/>
      <c r="D24" s="535"/>
      <c r="E24" s="535"/>
      <c r="F24" s="535">
        <f t="shared" si="1"/>
        <v>13900</v>
      </c>
      <c r="G24" s="535">
        <f t="shared" si="1"/>
        <v>3753</v>
      </c>
      <c r="H24" s="535">
        <f t="shared" si="1"/>
        <v>17653</v>
      </c>
      <c r="I24" s="535">
        <v>13900</v>
      </c>
      <c r="J24" s="535">
        <v>3753</v>
      </c>
      <c r="K24" s="535">
        <v>17653</v>
      </c>
      <c r="L24" s="535"/>
      <c r="M24" s="535"/>
      <c r="N24" s="535"/>
      <c r="O24" s="535"/>
      <c r="P24" s="535"/>
      <c r="Q24" s="535"/>
      <c r="R24" s="535"/>
      <c r="S24" s="535"/>
      <c r="T24" s="535"/>
      <c r="U24" s="801"/>
      <c r="V24" s="801"/>
      <c r="W24" s="801"/>
      <c r="X24" s="801"/>
      <c r="Y24" s="803"/>
      <c r="Z24" s="653">
        <v>5295900</v>
      </c>
      <c r="AA24" s="849"/>
      <c r="AB24" s="657">
        <f t="shared" si="2"/>
        <v>5295.9</v>
      </c>
      <c r="AC24" s="790"/>
    </row>
    <row r="25" spans="1:29" ht="24">
      <c r="A25" s="793"/>
      <c r="B25" s="543" t="s">
        <v>717</v>
      </c>
      <c r="C25" s="535"/>
      <c r="D25" s="535"/>
      <c r="E25" s="535"/>
      <c r="F25" s="535">
        <f t="shared" si="1"/>
        <v>27990</v>
      </c>
      <c r="G25" s="535">
        <f t="shared" si="1"/>
        <v>7557</v>
      </c>
      <c r="H25" s="535">
        <f t="shared" si="1"/>
        <v>35547</v>
      </c>
      <c r="I25" s="535">
        <v>27990</v>
      </c>
      <c r="J25" s="535">
        <v>7557</v>
      </c>
      <c r="K25" s="535">
        <v>35547</v>
      </c>
      <c r="L25" s="535"/>
      <c r="M25" s="535"/>
      <c r="N25" s="535"/>
      <c r="O25" s="535"/>
      <c r="P25" s="535"/>
      <c r="Q25" s="535"/>
      <c r="R25" s="535"/>
      <c r="S25" s="535"/>
      <c r="T25" s="535"/>
      <c r="U25" s="801"/>
      <c r="V25" s="801"/>
      <c r="W25" s="801"/>
      <c r="X25" s="801"/>
      <c r="Y25" s="803"/>
      <c r="Z25" s="653">
        <v>0</v>
      </c>
      <c r="AA25" s="849"/>
      <c r="AB25" s="657">
        <f t="shared" si="2"/>
        <v>0</v>
      </c>
      <c r="AC25" s="790"/>
    </row>
    <row r="26" spans="1:29" ht="33" customHeight="1">
      <c r="A26" s="793"/>
      <c r="B26" s="543" t="s">
        <v>718</v>
      </c>
      <c r="C26" s="533"/>
      <c r="D26" s="533"/>
      <c r="E26" s="533"/>
      <c r="F26" s="533">
        <f t="shared" si="1"/>
        <v>48</v>
      </c>
      <c r="G26" s="533">
        <f t="shared" si="1"/>
        <v>13</v>
      </c>
      <c r="H26" s="533">
        <f t="shared" si="1"/>
        <v>61</v>
      </c>
      <c r="I26" s="533">
        <v>48</v>
      </c>
      <c r="J26" s="533">
        <v>13</v>
      </c>
      <c r="K26" s="533">
        <v>61</v>
      </c>
      <c r="L26" s="533"/>
      <c r="M26" s="533"/>
      <c r="N26" s="533"/>
      <c r="O26" s="535"/>
      <c r="P26" s="535"/>
      <c r="Q26" s="535"/>
      <c r="R26" s="533"/>
      <c r="S26" s="533"/>
      <c r="T26" s="533"/>
      <c r="U26" s="801"/>
      <c r="V26" s="801"/>
      <c r="W26" s="801"/>
      <c r="X26" s="801"/>
      <c r="Y26" s="803"/>
      <c r="Z26" s="653">
        <v>0</v>
      </c>
      <c r="AA26" s="849"/>
      <c r="AB26" s="657">
        <f t="shared" si="2"/>
        <v>0</v>
      </c>
      <c r="AC26" s="790"/>
    </row>
    <row r="27" spans="1:29" ht="33" customHeight="1">
      <c r="A27" s="793"/>
      <c r="B27" s="543" t="s">
        <v>719</v>
      </c>
      <c r="C27" s="533"/>
      <c r="D27" s="533"/>
      <c r="E27" s="533"/>
      <c r="F27" s="533">
        <f t="shared" ref="F27:H36" si="3">I27-C27</f>
        <v>80</v>
      </c>
      <c r="G27" s="533">
        <f t="shared" si="3"/>
        <v>0</v>
      </c>
      <c r="H27" s="533">
        <f t="shared" si="3"/>
        <v>80</v>
      </c>
      <c r="I27" s="533">
        <v>80</v>
      </c>
      <c r="J27" s="533"/>
      <c r="K27" s="533">
        <v>80</v>
      </c>
      <c r="L27" s="533"/>
      <c r="M27" s="533"/>
      <c r="N27" s="533"/>
      <c r="O27" s="535"/>
      <c r="P27" s="535"/>
      <c r="Q27" s="535"/>
      <c r="R27" s="533"/>
      <c r="S27" s="533"/>
      <c r="T27" s="533"/>
      <c r="U27" s="801"/>
      <c r="V27" s="801"/>
      <c r="W27" s="801"/>
      <c r="X27" s="801"/>
      <c r="Y27" s="803"/>
      <c r="Z27" s="653">
        <v>80000</v>
      </c>
      <c r="AA27" s="849"/>
      <c r="AB27" s="657">
        <f t="shared" si="2"/>
        <v>80</v>
      </c>
      <c r="AC27" s="790"/>
    </row>
    <row r="28" spans="1:29" ht="24.6" thickBot="1">
      <c r="A28" s="793"/>
      <c r="B28" s="543" t="s">
        <v>720</v>
      </c>
      <c r="C28" s="533"/>
      <c r="D28" s="533"/>
      <c r="E28" s="533"/>
      <c r="F28" s="533">
        <f t="shared" si="3"/>
        <v>7479</v>
      </c>
      <c r="G28" s="533">
        <f t="shared" si="3"/>
        <v>2019</v>
      </c>
      <c r="H28" s="533">
        <f t="shared" si="3"/>
        <v>9498</v>
      </c>
      <c r="I28" s="533">
        <v>7479</v>
      </c>
      <c r="J28" s="533">
        <v>2019</v>
      </c>
      <c r="K28" s="533">
        <v>9498</v>
      </c>
      <c r="L28" s="533"/>
      <c r="M28" s="533"/>
      <c r="N28" s="533"/>
      <c r="O28" s="535"/>
      <c r="P28" s="535"/>
      <c r="Q28" s="535"/>
      <c r="R28" s="533"/>
      <c r="S28" s="533"/>
      <c r="T28" s="533"/>
      <c r="U28" s="801"/>
      <c r="V28" s="801"/>
      <c r="W28" s="801"/>
      <c r="X28" s="801"/>
      <c r="Y28" s="785"/>
      <c r="Z28" s="653">
        <v>0</v>
      </c>
      <c r="AA28" s="849"/>
      <c r="AB28" s="661">
        <f t="shared" si="2"/>
        <v>0</v>
      </c>
      <c r="AC28" s="791"/>
    </row>
    <row r="29" spans="1:29" ht="24">
      <c r="A29" s="800" t="s">
        <v>721</v>
      </c>
      <c r="B29" s="662" t="s">
        <v>722</v>
      </c>
      <c r="C29" s="598"/>
      <c r="D29" s="598"/>
      <c r="E29" s="598"/>
      <c r="F29" s="598">
        <f t="shared" si="3"/>
        <v>190</v>
      </c>
      <c r="G29" s="598">
        <f t="shared" si="3"/>
        <v>51</v>
      </c>
      <c r="H29" s="598">
        <f t="shared" si="3"/>
        <v>241</v>
      </c>
      <c r="I29" s="598">
        <v>190</v>
      </c>
      <c r="J29" s="598">
        <v>51</v>
      </c>
      <c r="K29" s="598">
        <v>241</v>
      </c>
      <c r="L29" s="598"/>
      <c r="M29" s="598"/>
      <c r="N29" s="598"/>
      <c r="O29" s="598"/>
      <c r="P29" s="598"/>
      <c r="Q29" s="598"/>
      <c r="R29" s="598"/>
      <c r="S29" s="598"/>
      <c r="T29" s="598"/>
      <c r="U29" s="782">
        <f>SUM(E29:E31)</f>
        <v>0</v>
      </c>
      <c r="V29" s="782">
        <f>SUM(K29:K31)</f>
        <v>1092</v>
      </c>
      <c r="W29" s="782">
        <f>SUM(N29:N31)</f>
        <v>0</v>
      </c>
      <c r="X29" s="782">
        <f>SUM(T29:T31)</f>
        <v>0</v>
      </c>
      <c r="Y29" s="784">
        <f>SUM(X29,V29)</f>
        <v>1092</v>
      </c>
      <c r="Z29" s="653">
        <v>241300</v>
      </c>
      <c r="AA29" s="849">
        <f>SUM(Z29:Z31)</f>
        <v>1092200</v>
      </c>
      <c r="AB29" s="660">
        <f t="shared" si="2"/>
        <v>241.3</v>
      </c>
      <c r="AC29" s="789">
        <f>SUM(AB29:AB31)</f>
        <v>1092.2</v>
      </c>
    </row>
    <row r="30" spans="1:29" ht="39.75" customHeight="1">
      <c r="A30" s="856"/>
      <c r="B30" s="564" t="s">
        <v>723</v>
      </c>
      <c r="C30" s="535"/>
      <c r="D30" s="535"/>
      <c r="E30" s="535"/>
      <c r="F30" s="535">
        <f t="shared" si="3"/>
        <v>145</v>
      </c>
      <c r="G30" s="535">
        <f t="shared" si="3"/>
        <v>39</v>
      </c>
      <c r="H30" s="535">
        <f t="shared" si="3"/>
        <v>184</v>
      </c>
      <c r="I30" s="535">
        <v>145</v>
      </c>
      <c r="J30" s="535">
        <v>39</v>
      </c>
      <c r="K30" s="535">
        <v>184</v>
      </c>
      <c r="L30" s="535"/>
      <c r="M30" s="535"/>
      <c r="N30" s="535"/>
      <c r="O30" s="535"/>
      <c r="P30" s="535"/>
      <c r="Q30" s="535"/>
      <c r="R30" s="535"/>
      <c r="S30" s="535"/>
      <c r="T30" s="535"/>
      <c r="U30" s="801"/>
      <c r="V30" s="801"/>
      <c r="W30" s="801"/>
      <c r="X30" s="801"/>
      <c r="Y30" s="803"/>
      <c r="Z30" s="653">
        <v>184150</v>
      </c>
      <c r="AA30" s="850"/>
      <c r="AB30" s="657">
        <f t="shared" si="2"/>
        <v>184.15</v>
      </c>
      <c r="AC30" s="790"/>
    </row>
    <row r="31" spans="1:29" ht="24.6" thickBot="1">
      <c r="A31" s="857"/>
      <c r="B31" s="613" t="s">
        <v>724</v>
      </c>
      <c r="C31" s="538"/>
      <c r="D31" s="538"/>
      <c r="E31" s="538"/>
      <c r="F31" s="538">
        <f t="shared" si="3"/>
        <v>525</v>
      </c>
      <c r="G31" s="538">
        <f t="shared" si="3"/>
        <v>142</v>
      </c>
      <c r="H31" s="538">
        <f t="shared" si="3"/>
        <v>667</v>
      </c>
      <c r="I31" s="538">
        <v>525</v>
      </c>
      <c r="J31" s="538">
        <v>142</v>
      </c>
      <c r="K31" s="538">
        <v>667</v>
      </c>
      <c r="L31" s="538"/>
      <c r="M31" s="538"/>
      <c r="N31" s="538"/>
      <c r="O31" s="538"/>
      <c r="P31" s="538"/>
      <c r="Q31" s="538"/>
      <c r="R31" s="538"/>
      <c r="S31" s="538"/>
      <c r="T31" s="538"/>
      <c r="U31" s="783"/>
      <c r="V31" s="783"/>
      <c r="W31" s="783"/>
      <c r="X31" s="783"/>
      <c r="Y31" s="785"/>
      <c r="Z31" s="653">
        <v>666750</v>
      </c>
      <c r="AA31" s="850"/>
      <c r="AB31" s="661">
        <f t="shared" si="2"/>
        <v>666.75</v>
      </c>
      <c r="AC31" s="791"/>
    </row>
    <row r="32" spans="1:29" ht="28.5" customHeight="1" thickBot="1">
      <c r="A32" s="580" t="s">
        <v>681</v>
      </c>
      <c r="B32" s="613" t="s">
        <v>725</v>
      </c>
      <c r="C32" s="538"/>
      <c r="D32" s="538"/>
      <c r="E32" s="538"/>
      <c r="F32" s="538">
        <f t="shared" si="3"/>
        <v>8900</v>
      </c>
      <c r="G32" s="538">
        <f t="shared" si="3"/>
        <v>2403</v>
      </c>
      <c r="H32" s="538">
        <f t="shared" si="3"/>
        <v>11303</v>
      </c>
      <c r="I32" s="538">
        <v>8900</v>
      </c>
      <c r="J32" s="538">
        <v>2403</v>
      </c>
      <c r="K32" s="538">
        <v>11303</v>
      </c>
      <c r="L32" s="538"/>
      <c r="M32" s="538"/>
      <c r="N32" s="538"/>
      <c r="O32" s="538"/>
      <c r="P32" s="538"/>
      <c r="Q32" s="538"/>
      <c r="R32" s="538"/>
      <c r="S32" s="538"/>
      <c r="T32" s="538"/>
      <c r="U32" s="584">
        <f>SUM(E32)</f>
        <v>0</v>
      </c>
      <c r="V32" s="584">
        <f>SUM(K32)</f>
        <v>11303</v>
      </c>
      <c r="W32" s="584">
        <f>SUM(N32)</f>
        <v>0</v>
      </c>
      <c r="X32" s="584">
        <f>SUM(T32)</f>
        <v>0</v>
      </c>
      <c r="Y32" s="585"/>
      <c r="Z32" s="653">
        <v>0</v>
      </c>
      <c r="AA32" s="646">
        <f>SUM(Z32)</f>
        <v>0</v>
      </c>
      <c r="AB32" s="663">
        <f t="shared" si="2"/>
        <v>0</v>
      </c>
      <c r="AC32" s="664">
        <f>SUM(AB32)</f>
        <v>0</v>
      </c>
    </row>
    <row r="33" spans="1:29" ht="30" customHeight="1" thickBot="1">
      <c r="A33" s="665" t="s">
        <v>726</v>
      </c>
      <c r="B33" s="666" t="s">
        <v>727</v>
      </c>
      <c r="C33" s="658"/>
      <c r="D33" s="658"/>
      <c r="E33" s="658"/>
      <c r="F33" s="658">
        <f t="shared" si="3"/>
        <v>165</v>
      </c>
      <c r="G33" s="658">
        <f t="shared" si="3"/>
        <v>45</v>
      </c>
      <c r="H33" s="658">
        <f t="shared" si="3"/>
        <v>210</v>
      </c>
      <c r="I33" s="658">
        <v>165</v>
      </c>
      <c r="J33" s="658">
        <v>45</v>
      </c>
      <c r="K33" s="658">
        <v>210</v>
      </c>
      <c r="L33" s="658"/>
      <c r="M33" s="658"/>
      <c r="N33" s="658"/>
      <c r="O33" s="658"/>
      <c r="P33" s="658"/>
      <c r="Q33" s="658"/>
      <c r="R33" s="658"/>
      <c r="S33" s="658"/>
      <c r="T33" s="658"/>
      <c r="U33" s="592">
        <f>SUM(E33)</f>
        <v>0</v>
      </c>
      <c r="V33" s="593">
        <f>SUM(K33)</f>
        <v>210</v>
      </c>
      <c r="W33" s="592">
        <f>SUM(N33)</f>
        <v>0</v>
      </c>
      <c r="X33" s="592">
        <f>SUM(T33)</f>
        <v>0</v>
      </c>
      <c r="Y33" s="593">
        <f t="shared" ref="Y33:Y39" si="4">SUM(X33,V33)</f>
        <v>210</v>
      </c>
      <c r="Z33" s="653">
        <v>209550</v>
      </c>
      <c r="AA33" s="646">
        <f>SUM(Z33)</f>
        <v>209550</v>
      </c>
      <c r="AB33" s="647">
        <f t="shared" si="2"/>
        <v>209.55</v>
      </c>
      <c r="AC33" s="648">
        <f>SUM(AB33)</f>
        <v>209.55</v>
      </c>
    </row>
    <row r="34" spans="1:29" ht="30" customHeight="1" thickBot="1">
      <c r="A34" s="649" t="s">
        <v>728</v>
      </c>
      <c r="B34" s="605" t="s">
        <v>729</v>
      </c>
      <c r="C34" s="569"/>
      <c r="D34" s="569"/>
      <c r="E34" s="569"/>
      <c r="F34" s="569">
        <f t="shared" si="3"/>
        <v>630</v>
      </c>
      <c r="G34" s="569">
        <f t="shared" si="3"/>
        <v>170</v>
      </c>
      <c r="H34" s="569">
        <f t="shared" si="3"/>
        <v>800</v>
      </c>
      <c r="I34" s="569">
        <v>630</v>
      </c>
      <c r="J34" s="569">
        <v>170</v>
      </c>
      <c r="K34" s="569">
        <v>800</v>
      </c>
      <c r="L34" s="569"/>
      <c r="M34" s="569"/>
      <c r="N34" s="569"/>
      <c r="O34" s="569"/>
      <c r="P34" s="569"/>
      <c r="Q34" s="569"/>
      <c r="R34" s="569"/>
      <c r="S34" s="569"/>
      <c r="T34" s="569"/>
      <c r="U34" s="651">
        <f>SUM(E34)</f>
        <v>0</v>
      </c>
      <c r="V34" s="652">
        <f>SUM(K34)</f>
        <v>800</v>
      </c>
      <c r="W34" s="651">
        <f>SUM(N34)</f>
        <v>0</v>
      </c>
      <c r="X34" s="651">
        <f>SUM(T34)</f>
        <v>0</v>
      </c>
      <c r="Y34" s="652">
        <f t="shared" si="4"/>
        <v>800</v>
      </c>
      <c r="Z34" s="653">
        <v>800100</v>
      </c>
      <c r="AA34" s="646">
        <f t="shared" ref="AA34:AC36" si="5">SUM(Z34)</f>
        <v>800100</v>
      </c>
      <c r="AB34" s="647">
        <f t="shared" si="2"/>
        <v>800.1</v>
      </c>
      <c r="AC34" s="648">
        <f t="shared" si="5"/>
        <v>800.1</v>
      </c>
    </row>
    <row r="35" spans="1:29" ht="30" customHeight="1" thickBot="1">
      <c r="A35" s="580" t="s">
        <v>730</v>
      </c>
      <c r="B35" s="667" t="s">
        <v>731</v>
      </c>
      <c r="C35" s="582"/>
      <c r="D35" s="582"/>
      <c r="E35" s="582"/>
      <c r="F35" s="582">
        <f t="shared" si="3"/>
        <v>870</v>
      </c>
      <c r="G35" s="582">
        <f t="shared" si="3"/>
        <v>235</v>
      </c>
      <c r="H35" s="582">
        <f t="shared" si="3"/>
        <v>1105</v>
      </c>
      <c r="I35" s="582">
        <v>870</v>
      </c>
      <c r="J35" s="582">
        <v>235</v>
      </c>
      <c r="K35" s="582">
        <v>1105</v>
      </c>
      <c r="L35" s="582"/>
      <c r="M35" s="582"/>
      <c r="N35" s="582"/>
      <c r="O35" s="582"/>
      <c r="P35" s="582"/>
      <c r="Q35" s="582"/>
      <c r="R35" s="582"/>
      <c r="S35" s="582"/>
      <c r="T35" s="582"/>
      <c r="U35" s="592">
        <f>SUM(E35)</f>
        <v>0</v>
      </c>
      <c r="V35" s="592">
        <f>SUM(K35)</f>
        <v>1105</v>
      </c>
      <c r="W35" s="592">
        <f>SUM(N35)</f>
        <v>0</v>
      </c>
      <c r="X35" s="592">
        <f>SUM(T35)</f>
        <v>0</v>
      </c>
      <c r="Y35" s="593">
        <f t="shared" si="4"/>
        <v>1105</v>
      </c>
      <c r="Z35" s="653">
        <v>1104900</v>
      </c>
      <c r="AA35" s="646">
        <f t="shared" si="5"/>
        <v>1104900</v>
      </c>
      <c r="AB35" s="668">
        <f t="shared" si="2"/>
        <v>1104.9000000000001</v>
      </c>
      <c r="AC35" s="669">
        <f t="shared" si="5"/>
        <v>1104.9000000000001</v>
      </c>
    </row>
    <row r="36" spans="1:29" ht="33" customHeight="1" thickBot="1">
      <c r="A36" s="588" t="s">
        <v>686</v>
      </c>
      <c r="B36" s="604" t="s">
        <v>732</v>
      </c>
      <c r="C36" s="528"/>
      <c r="D36" s="528"/>
      <c r="E36" s="528"/>
      <c r="F36" s="528">
        <f t="shared" si="3"/>
        <v>225</v>
      </c>
      <c r="G36" s="528">
        <f t="shared" si="3"/>
        <v>61</v>
      </c>
      <c r="H36" s="528">
        <f t="shared" si="3"/>
        <v>286</v>
      </c>
      <c r="I36" s="528">
        <v>225</v>
      </c>
      <c r="J36" s="528">
        <v>61</v>
      </c>
      <c r="K36" s="528">
        <v>286</v>
      </c>
      <c r="L36" s="528"/>
      <c r="M36" s="528"/>
      <c r="N36" s="528"/>
      <c r="O36" s="528"/>
      <c r="P36" s="528"/>
      <c r="Q36" s="528"/>
      <c r="R36" s="528"/>
      <c r="S36" s="528"/>
      <c r="T36" s="528"/>
      <c r="U36" s="590">
        <f>SUM(E36)</f>
        <v>0</v>
      </c>
      <c r="V36" s="590">
        <f>SUM(K36)</f>
        <v>286</v>
      </c>
      <c r="W36" s="590">
        <f>SUM(N36)</f>
        <v>0</v>
      </c>
      <c r="X36" s="590">
        <f>SUM(T36)</f>
        <v>0</v>
      </c>
      <c r="Y36" s="591">
        <f t="shared" si="4"/>
        <v>286</v>
      </c>
      <c r="Z36" s="653">
        <v>285750</v>
      </c>
      <c r="AA36" s="646">
        <f t="shared" si="5"/>
        <v>285750</v>
      </c>
      <c r="AB36" s="647">
        <f t="shared" si="2"/>
        <v>285.75</v>
      </c>
      <c r="AC36" s="648">
        <f t="shared" si="5"/>
        <v>285.75</v>
      </c>
    </row>
    <row r="37" spans="1:29" ht="33.75" customHeight="1" thickBot="1">
      <c r="A37" s="670"/>
      <c r="B37" s="671" t="s">
        <v>733</v>
      </c>
      <c r="C37" s="592">
        <f t="shared" ref="C37:V37" si="6">SUM(C10:C36)</f>
        <v>0</v>
      </c>
      <c r="D37" s="592">
        <f t="shared" si="6"/>
        <v>0</v>
      </c>
      <c r="E37" s="592">
        <f t="shared" si="6"/>
        <v>0</v>
      </c>
      <c r="F37" s="592">
        <f t="shared" si="6"/>
        <v>77304</v>
      </c>
      <c r="G37" s="592">
        <f t="shared" si="6"/>
        <v>17641</v>
      </c>
      <c r="H37" s="592">
        <f t="shared" si="6"/>
        <v>94945</v>
      </c>
      <c r="I37" s="592">
        <f t="shared" si="6"/>
        <v>77304</v>
      </c>
      <c r="J37" s="592">
        <f t="shared" si="6"/>
        <v>17641</v>
      </c>
      <c r="K37" s="592">
        <f t="shared" si="6"/>
        <v>94945</v>
      </c>
      <c r="L37" s="592">
        <f t="shared" si="6"/>
        <v>20000</v>
      </c>
      <c r="M37" s="592">
        <f t="shared" si="6"/>
        <v>5400</v>
      </c>
      <c r="N37" s="592">
        <f t="shared" si="6"/>
        <v>25400</v>
      </c>
      <c r="O37" s="592">
        <f t="shared" si="6"/>
        <v>0</v>
      </c>
      <c r="P37" s="592">
        <f t="shared" si="6"/>
        <v>0</v>
      </c>
      <c r="Q37" s="592">
        <f t="shared" si="6"/>
        <v>0</v>
      </c>
      <c r="R37" s="592">
        <f t="shared" si="6"/>
        <v>20000</v>
      </c>
      <c r="S37" s="592">
        <f t="shared" si="6"/>
        <v>5400</v>
      </c>
      <c r="T37" s="592">
        <f t="shared" si="6"/>
        <v>25400</v>
      </c>
      <c r="U37" s="592">
        <f t="shared" si="6"/>
        <v>0</v>
      </c>
      <c r="V37" s="593">
        <f t="shared" si="6"/>
        <v>94945</v>
      </c>
      <c r="W37" s="592">
        <f>SUM(W10:W36)</f>
        <v>25400</v>
      </c>
      <c r="X37" s="592">
        <f>SUM(X10:X36)</f>
        <v>25400</v>
      </c>
      <c r="Y37" s="593">
        <f t="shared" si="4"/>
        <v>120345</v>
      </c>
      <c r="Z37" s="672">
        <f>SUM(Z10:Z36)</f>
        <v>17561941</v>
      </c>
      <c r="AA37" s="673">
        <f>SUM(AA10:AA36)</f>
        <v>17561941</v>
      </c>
      <c r="AB37" s="619">
        <f>SUM(AB10:AB36)</f>
        <v>17561.940999999999</v>
      </c>
      <c r="AC37" s="619">
        <f>SUM(AC10:AC36)</f>
        <v>17561.941000000003</v>
      </c>
    </row>
    <row r="38" spans="1:29" ht="30.75" customHeight="1" thickBot="1">
      <c r="A38" s="625" t="s">
        <v>691</v>
      </c>
      <c r="B38" s="626" t="s">
        <v>692</v>
      </c>
      <c r="C38" s="582"/>
      <c r="D38" s="582"/>
      <c r="E38" s="582"/>
      <c r="F38" s="582">
        <f>I38-C38</f>
        <v>2264</v>
      </c>
      <c r="G38" s="582">
        <f>J38-D38</f>
        <v>611</v>
      </c>
      <c r="H38" s="582">
        <f>K38-E38</f>
        <v>2875</v>
      </c>
      <c r="I38" s="582">
        <v>2264</v>
      </c>
      <c r="J38" s="582">
        <v>611</v>
      </c>
      <c r="K38" s="582">
        <v>2875</v>
      </c>
      <c r="L38" s="627"/>
      <c r="M38" s="627"/>
      <c r="N38" s="627"/>
      <c r="O38" s="628"/>
      <c r="P38" s="582"/>
      <c r="Q38" s="582"/>
      <c r="R38" s="628"/>
      <c r="S38" s="582"/>
      <c r="T38" s="582"/>
      <c r="U38" s="592">
        <f>SUM(E38)</f>
        <v>0</v>
      </c>
      <c r="V38" s="592">
        <f>SUM(K38)</f>
        <v>2875</v>
      </c>
      <c r="W38" s="592">
        <f>SUM(N38)</f>
        <v>0</v>
      </c>
      <c r="X38" s="592">
        <f>SUM(T38)</f>
        <v>0</v>
      </c>
      <c r="Y38" s="593">
        <f t="shared" si="4"/>
        <v>2875</v>
      </c>
      <c r="Z38" s="672"/>
      <c r="AA38" s="624"/>
      <c r="AB38" s="632">
        <v>2875</v>
      </c>
      <c r="AC38" s="648">
        <v>2875</v>
      </c>
    </row>
    <row r="39" spans="1:29" ht="33.75" customHeight="1" thickBot="1">
      <c r="A39" s="630"/>
      <c r="B39" s="674" t="s">
        <v>734</v>
      </c>
      <c r="C39" s="592">
        <f t="shared" ref="C39:X39" si="7">SUM(C37:C38)</f>
        <v>0</v>
      </c>
      <c r="D39" s="592">
        <f t="shared" si="7"/>
        <v>0</v>
      </c>
      <c r="E39" s="592">
        <f t="shared" si="7"/>
        <v>0</v>
      </c>
      <c r="F39" s="592">
        <f t="shared" si="7"/>
        <v>79568</v>
      </c>
      <c r="G39" s="592">
        <f t="shared" si="7"/>
        <v>18252</v>
      </c>
      <c r="H39" s="592">
        <f t="shared" si="7"/>
        <v>97820</v>
      </c>
      <c r="I39" s="592">
        <f t="shared" si="7"/>
        <v>79568</v>
      </c>
      <c r="J39" s="592">
        <f t="shared" si="7"/>
        <v>18252</v>
      </c>
      <c r="K39" s="592">
        <f t="shared" si="7"/>
        <v>97820</v>
      </c>
      <c r="L39" s="592">
        <f t="shared" si="7"/>
        <v>20000</v>
      </c>
      <c r="M39" s="592">
        <f t="shared" si="7"/>
        <v>5400</v>
      </c>
      <c r="N39" s="592">
        <f t="shared" si="7"/>
        <v>25400</v>
      </c>
      <c r="O39" s="592">
        <f t="shared" si="7"/>
        <v>0</v>
      </c>
      <c r="P39" s="592">
        <f t="shared" si="7"/>
        <v>0</v>
      </c>
      <c r="Q39" s="592">
        <f t="shared" si="7"/>
        <v>0</v>
      </c>
      <c r="R39" s="592">
        <f t="shared" si="7"/>
        <v>20000</v>
      </c>
      <c r="S39" s="592">
        <f t="shared" si="7"/>
        <v>5400</v>
      </c>
      <c r="T39" s="592">
        <f t="shared" si="7"/>
        <v>25400</v>
      </c>
      <c r="U39" s="592">
        <f t="shared" si="7"/>
        <v>0</v>
      </c>
      <c r="V39" s="593">
        <f t="shared" si="7"/>
        <v>97820</v>
      </c>
      <c r="W39" s="592">
        <f t="shared" si="7"/>
        <v>25400</v>
      </c>
      <c r="X39" s="592">
        <f t="shared" si="7"/>
        <v>25400</v>
      </c>
      <c r="Y39" s="593">
        <f t="shared" si="4"/>
        <v>123220</v>
      </c>
      <c r="Z39" s="672"/>
      <c r="AA39" s="624"/>
      <c r="AB39" s="632">
        <f>SUM(AB37:AB38)</f>
        <v>20436.940999999999</v>
      </c>
      <c r="AC39" s="632">
        <f>SUM(AC37:AC38)</f>
        <v>20436.941000000003</v>
      </c>
    </row>
    <row r="40" spans="1:29">
      <c r="A40" s="633"/>
      <c r="C40" s="633"/>
      <c r="D40" s="633"/>
      <c r="E40" s="633"/>
      <c r="F40" s="633"/>
      <c r="G40" s="633"/>
      <c r="H40" s="633"/>
      <c r="I40" s="633"/>
      <c r="J40" s="633"/>
      <c r="K40" s="633"/>
      <c r="L40" s="633"/>
      <c r="M40" s="633"/>
      <c r="N40" s="633"/>
      <c r="O40" s="633"/>
      <c r="P40" s="633"/>
      <c r="Q40" s="633"/>
      <c r="R40" s="633"/>
      <c r="S40" s="633"/>
      <c r="T40" s="633"/>
    </row>
    <row r="41" spans="1:29" ht="14.4">
      <c r="A41" s="675"/>
      <c r="B41" s="675"/>
      <c r="C41" s="675"/>
      <c r="D41" s="675"/>
      <c r="E41" s="675"/>
      <c r="F41" s="676"/>
      <c r="G41" s="676"/>
      <c r="H41" s="677" t="s">
        <v>318</v>
      </c>
      <c r="I41" s="633"/>
      <c r="J41" s="633"/>
      <c r="K41" s="633"/>
      <c r="L41" s="633"/>
      <c r="M41" s="633"/>
      <c r="N41" s="633"/>
      <c r="O41" s="633"/>
      <c r="P41" s="633"/>
      <c r="Q41" s="633"/>
      <c r="R41" s="633"/>
      <c r="S41" s="633"/>
      <c r="T41" s="633"/>
      <c r="AC41" s="635" t="s">
        <v>737</v>
      </c>
    </row>
    <row r="42" spans="1:29" ht="15.6">
      <c r="A42" s="851" t="s">
        <v>322</v>
      </c>
      <c r="B42" s="851"/>
      <c r="C42" s="851"/>
      <c r="D42" s="851"/>
      <c r="E42" s="851"/>
      <c r="F42" s="851"/>
      <c r="G42" s="851"/>
      <c r="H42" s="851"/>
      <c r="I42" s="851"/>
      <c r="J42" s="851"/>
      <c r="K42" s="851"/>
      <c r="L42" s="851"/>
      <c r="M42" s="851"/>
      <c r="N42" s="851"/>
      <c r="O42" s="851"/>
      <c r="P42" s="851"/>
      <c r="Q42" s="851"/>
      <c r="R42" s="851"/>
      <c r="S42" s="851"/>
      <c r="T42" s="851"/>
      <c r="U42" s="851"/>
      <c r="V42" s="851"/>
      <c r="W42" s="851"/>
      <c r="X42" s="851"/>
      <c r="Y42" s="851"/>
      <c r="Z42" s="678"/>
      <c r="AA42" s="678"/>
      <c r="AB42" s="678"/>
    </row>
    <row r="43" spans="1:29" ht="15" customHeight="1">
      <c r="A43" s="852">
        <v>41455</v>
      </c>
      <c r="B43" s="852"/>
      <c r="C43" s="852"/>
      <c r="D43" s="852"/>
      <c r="E43" s="852"/>
      <c r="F43" s="852"/>
      <c r="G43" s="852"/>
      <c r="H43" s="852"/>
      <c r="I43" s="852"/>
      <c r="J43" s="852"/>
      <c r="K43" s="852"/>
      <c r="L43" s="852"/>
      <c r="M43" s="852"/>
      <c r="N43" s="852"/>
      <c r="O43" s="852"/>
      <c r="P43" s="852"/>
      <c r="Q43" s="852"/>
      <c r="R43" s="852"/>
      <c r="S43" s="852"/>
      <c r="T43" s="852"/>
      <c r="U43" s="852"/>
      <c r="V43" s="852"/>
      <c r="W43" s="852"/>
      <c r="X43" s="852"/>
      <c r="Y43" s="852"/>
      <c r="Z43" s="679"/>
      <c r="AA43" s="679"/>
      <c r="AB43" s="679"/>
    </row>
    <row r="44" spans="1:29" ht="14.4">
      <c r="A44" s="680"/>
      <c r="B44" s="681"/>
      <c r="C44" s="682"/>
      <c r="D44" s="682"/>
      <c r="E44" s="682"/>
      <c r="F44" s="676"/>
      <c r="G44" s="676"/>
      <c r="H44" s="676"/>
      <c r="I44" s="633"/>
      <c r="J44" s="633"/>
      <c r="K44" s="633"/>
      <c r="L44" s="633"/>
      <c r="M44" s="633"/>
      <c r="N44" s="633"/>
      <c r="O44" s="633"/>
      <c r="P44" s="633"/>
      <c r="Q44" s="633"/>
      <c r="R44" s="633"/>
      <c r="S44" s="633"/>
      <c r="T44" s="633"/>
    </row>
    <row r="45" spans="1:29" s="524" customFormat="1" ht="15" thickBot="1">
      <c r="A45" s="681"/>
      <c r="B45" s="683"/>
      <c r="C45" s="682"/>
      <c r="D45" s="682"/>
      <c r="E45" s="681"/>
      <c r="F45" s="681"/>
      <c r="G45" s="683" t="s">
        <v>323</v>
      </c>
      <c r="H45" s="676"/>
      <c r="I45" s="633"/>
      <c r="J45" s="633"/>
      <c r="K45" s="633"/>
      <c r="L45" s="633"/>
      <c r="M45" s="633"/>
      <c r="N45" s="633"/>
      <c r="O45" s="633"/>
      <c r="P45" s="633"/>
      <c r="Q45" s="633"/>
      <c r="R45" s="633"/>
      <c r="S45" s="633"/>
      <c r="T45" s="633"/>
      <c r="U45" s="523"/>
      <c r="V45" s="523"/>
      <c r="W45" s="523"/>
      <c r="X45" s="523"/>
      <c r="Y45" s="523"/>
      <c r="Z45" s="523"/>
      <c r="AA45" s="523"/>
      <c r="AB45" s="523"/>
      <c r="AC45" s="519"/>
    </row>
    <row r="46" spans="1:29" s="524" customFormat="1" ht="33.6" customHeight="1">
      <c r="A46" s="853" t="s">
        <v>761</v>
      </c>
      <c r="B46" s="854"/>
      <c r="C46" s="854"/>
      <c r="D46" s="854"/>
      <c r="E46" s="854"/>
      <c r="F46" s="854"/>
      <c r="G46" s="854"/>
      <c r="H46" s="854"/>
      <c r="I46" s="854"/>
      <c r="J46" s="854"/>
      <c r="K46" s="854"/>
      <c r="L46" s="854"/>
      <c r="M46" s="854"/>
      <c r="N46" s="854"/>
      <c r="O46" s="854"/>
      <c r="P46" s="854"/>
      <c r="Q46" s="854"/>
      <c r="R46" s="854"/>
      <c r="S46" s="854"/>
      <c r="T46" s="854"/>
      <c r="U46" s="854"/>
      <c r="V46" s="854"/>
      <c r="W46" s="855"/>
      <c r="X46" s="684" t="s">
        <v>762</v>
      </c>
      <c r="Y46" s="685" t="s">
        <v>763</v>
      </c>
      <c r="Z46" s="686"/>
      <c r="AA46" s="686"/>
      <c r="AB46" s="685" t="s">
        <v>764</v>
      </c>
      <c r="AC46" s="519"/>
    </row>
    <row r="47" spans="1:29" s="524" customFormat="1" ht="14.4">
      <c r="A47" s="844"/>
      <c r="B47" s="845"/>
      <c r="C47" s="845"/>
      <c r="D47" s="845"/>
      <c r="E47" s="845"/>
      <c r="F47" s="845"/>
      <c r="G47" s="845"/>
      <c r="H47" s="845"/>
      <c r="I47" s="845"/>
      <c r="J47" s="845"/>
      <c r="K47" s="845"/>
      <c r="L47" s="845"/>
      <c r="M47" s="845"/>
      <c r="N47" s="845"/>
      <c r="O47" s="845"/>
      <c r="P47" s="845"/>
      <c r="Q47" s="845"/>
      <c r="R47" s="845"/>
      <c r="S47" s="845"/>
      <c r="T47" s="845"/>
      <c r="U47" s="845"/>
      <c r="V47" s="845"/>
      <c r="W47" s="845"/>
      <c r="X47" s="687"/>
      <c r="Y47" s="688"/>
      <c r="Z47" s="689"/>
      <c r="AA47" s="689"/>
      <c r="AB47" s="688"/>
      <c r="AC47" s="519"/>
    </row>
    <row r="48" spans="1:29" s="524" customFormat="1" ht="14.4">
      <c r="A48" s="844"/>
      <c r="B48" s="845"/>
      <c r="C48" s="845"/>
      <c r="D48" s="845"/>
      <c r="E48" s="845"/>
      <c r="F48" s="845"/>
      <c r="G48" s="845"/>
      <c r="H48" s="845"/>
      <c r="I48" s="845"/>
      <c r="J48" s="845"/>
      <c r="K48" s="845"/>
      <c r="L48" s="845"/>
      <c r="M48" s="845"/>
      <c r="N48" s="845"/>
      <c r="O48" s="845"/>
      <c r="P48" s="845"/>
      <c r="Q48" s="845"/>
      <c r="R48" s="845"/>
      <c r="S48" s="845"/>
      <c r="T48" s="845"/>
      <c r="U48" s="845"/>
      <c r="V48" s="845"/>
      <c r="W48" s="845"/>
      <c r="X48" s="687"/>
      <c r="Y48" s="688"/>
      <c r="Z48" s="689"/>
      <c r="AA48" s="689"/>
      <c r="AB48" s="688"/>
      <c r="AC48" s="519"/>
    </row>
    <row r="49" spans="1:29" s="524" customFormat="1" ht="14.4">
      <c r="A49" s="844"/>
      <c r="B49" s="845"/>
      <c r="C49" s="845"/>
      <c r="D49" s="845"/>
      <c r="E49" s="845"/>
      <c r="F49" s="845"/>
      <c r="G49" s="845"/>
      <c r="H49" s="845"/>
      <c r="I49" s="845"/>
      <c r="J49" s="845"/>
      <c r="K49" s="845"/>
      <c r="L49" s="845"/>
      <c r="M49" s="845"/>
      <c r="N49" s="845"/>
      <c r="O49" s="845"/>
      <c r="P49" s="845"/>
      <c r="Q49" s="845"/>
      <c r="R49" s="845"/>
      <c r="S49" s="845"/>
      <c r="T49" s="845"/>
      <c r="U49" s="845"/>
      <c r="V49" s="845"/>
      <c r="W49" s="845"/>
      <c r="X49" s="687"/>
      <c r="Y49" s="688"/>
      <c r="Z49" s="689"/>
      <c r="AA49" s="689"/>
      <c r="AB49" s="688"/>
      <c r="AC49" s="519"/>
    </row>
    <row r="50" spans="1:29" s="524" customFormat="1" ht="15" thickBot="1">
      <c r="A50" s="846" t="s">
        <v>15</v>
      </c>
      <c r="B50" s="847"/>
      <c r="C50" s="847"/>
      <c r="D50" s="847"/>
      <c r="E50" s="847"/>
      <c r="F50" s="847"/>
      <c r="G50" s="847"/>
      <c r="H50" s="847"/>
      <c r="I50" s="847"/>
      <c r="J50" s="847"/>
      <c r="K50" s="847"/>
      <c r="L50" s="847"/>
      <c r="M50" s="847"/>
      <c r="N50" s="847"/>
      <c r="O50" s="847"/>
      <c r="P50" s="847"/>
      <c r="Q50" s="847"/>
      <c r="R50" s="847"/>
      <c r="S50" s="847"/>
      <c r="T50" s="847"/>
      <c r="U50" s="847"/>
      <c r="V50" s="847"/>
      <c r="W50" s="848"/>
      <c r="X50" s="690">
        <f>SUM(X47:X49)</f>
        <v>0</v>
      </c>
      <c r="Y50" s="691">
        <f>SUM(Y47:Y49)</f>
        <v>0</v>
      </c>
      <c r="Z50" s="689"/>
      <c r="AA50" s="689"/>
      <c r="AB50" s="691">
        <f>SUM(AB47:AB49)</f>
        <v>0</v>
      </c>
      <c r="AC50" s="519"/>
    </row>
    <row r="51" spans="1:29" s="524" customFormat="1">
      <c r="A51" s="633"/>
      <c r="B51" s="522"/>
      <c r="C51" s="633"/>
      <c r="D51" s="633"/>
      <c r="E51" s="633"/>
      <c r="F51" s="633"/>
      <c r="G51" s="633"/>
      <c r="H51" s="633"/>
      <c r="I51" s="633"/>
      <c r="J51" s="633"/>
      <c r="K51" s="633"/>
      <c r="L51" s="633"/>
      <c r="M51" s="633"/>
      <c r="N51" s="633"/>
      <c r="O51" s="633"/>
      <c r="P51" s="633"/>
      <c r="Q51" s="633"/>
      <c r="R51" s="633"/>
      <c r="S51" s="633"/>
      <c r="T51" s="633"/>
      <c r="U51" s="523"/>
      <c r="V51" s="523"/>
      <c r="W51" s="523"/>
      <c r="X51" s="523"/>
      <c r="Y51" s="523"/>
      <c r="Z51" s="523"/>
      <c r="AA51" s="523"/>
      <c r="AB51" s="523"/>
      <c r="AC51" s="519"/>
    </row>
    <row r="52" spans="1:29" s="524" customFormat="1">
      <c r="A52" s="633"/>
      <c r="B52" s="522"/>
      <c r="C52" s="633"/>
      <c r="D52" s="633"/>
      <c r="E52" s="633"/>
      <c r="F52" s="633"/>
      <c r="G52" s="633"/>
      <c r="H52" s="633"/>
      <c r="I52" s="633"/>
      <c r="J52" s="633"/>
      <c r="K52" s="633"/>
      <c r="L52" s="633"/>
      <c r="M52" s="633"/>
      <c r="N52" s="633"/>
      <c r="O52" s="633"/>
      <c r="P52" s="633"/>
      <c r="Q52" s="633"/>
      <c r="R52" s="633"/>
      <c r="S52" s="633"/>
      <c r="T52" s="633"/>
      <c r="U52" s="523"/>
      <c r="V52" s="523"/>
      <c r="W52" s="523"/>
      <c r="X52" s="523"/>
      <c r="Y52" s="523"/>
      <c r="Z52" s="523"/>
      <c r="AA52" s="523"/>
      <c r="AB52" s="523"/>
      <c r="AC52" s="519"/>
    </row>
    <row r="53" spans="1:29" s="524" customFormat="1">
      <c r="A53" s="633"/>
      <c r="B53" s="522"/>
      <c r="C53" s="633"/>
      <c r="D53" s="633"/>
      <c r="E53" s="633"/>
      <c r="F53" s="633"/>
      <c r="G53" s="633"/>
      <c r="H53" s="633"/>
      <c r="I53" s="633"/>
      <c r="J53" s="633"/>
      <c r="K53" s="633"/>
      <c r="L53" s="633"/>
      <c r="M53" s="633"/>
      <c r="N53" s="633"/>
      <c r="O53" s="633"/>
      <c r="P53" s="633"/>
      <c r="Q53" s="633"/>
      <c r="R53" s="633"/>
      <c r="S53" s="633"/>
      <c r="T53" s="633"/>
      <c r="U53" s="523"/>
      <c r="V53" s="523"/>
      <c r="W53" s="523"/>
      <c r="X53" s="523"/>
      <c r="Y53" s="523"/>
      <c r="Z53" s="523"/>
      <c r="AA53" s="523"/>
      <c r="AB53" s="523"/>
      <c r="AC53" s="519"/>
    </row>
    <row r="54" spans="1:29" s="524" customFormat="1">
      <c r="A54" s="633"/>
      <c r="B54" s="522"/>
      <c r="C54" s="633"/>
      <c r="D54" s="633"/>
      <c r="E54" s="633"/>
      <c r="F54" s="633"/>
      <c r="G54" s="633"/>
      <c r="H54" s="633"/>
      <c r="I54" s="633"/>
      <c r="J54" s="633"/>
      <c r="K54" s="633"/>
      <c r="L54" s="633"/>
      <c r="M54" s="633"/>
      <c r="N54" s="633"/>
      <c r="O54" s="633"/>
      <c r="P54" s="633"/>
      <c r="Q54" s="633"/>
      <c r="R54" s="633"/>
      <c r="S54" s="633"/>
      <c r="T54" s="633"/>
      <c r="U54" s="523"/>
      <c r="V54" s="523"/>
      <c r="W54" s="523"/>
      <c r="X54" s="523"/>
      <c r="Y54" s="523"/>
      <c r="Z54" s="523"/>
      <c r="AA54" s="523"/>
      <c r="AB54" s="523"/>
      <c r="AC54" s="519"/>
    </row>
    <row r="55" spans="1:29" s="524" customFormat="1">
      <c r="A55" s="633"/>
      <c r="B55" s="522"/>
      <c r="C55" s="633"/>
      <c r="D55" s="633"/>
      <c r="E55" s="633"/>
      <c r="F55" s="633"/>
      <c r="G55" s="633"/>
      <c r="H55" s="633"/>
      <c r="I55" s="633"/>
      <c r="J55" s="633"/>
      <c r="K55" s="633"/>
      <c r="L55" s="633"/>
      <c r="M55" s="633"/>
      <c r="N55" s="633"/>
      <c r="O55" s="633"/>
      <c r="P55" s="633"/>
      <c r="Q55" s="633"/>
      <c r="R55" s="633"/>
      <c r="S55" s="633"/>
      <c r="T55" s="633"/>
      <c r="U55" s="523"/>
      <c r="V55" s="523"/>
      <c r="W55" s="523"/>
      <c r="X55" s="523"/>
      <c r="Y55" s="523"/>
      <c r="Z55" s="523"/>
      <c r="AA55" s="523"/>
      <c r="AB55" s="523"/>
      <c r="AC55" s="519"/>
    </row>
    <row r="56" spans="1:29" s="524" customFormat="1">
      <c r="A56" s="633"/>
      <c r="B56" s="522"/>
      <c r="C56" s="633"/>
      <c r="D56" s="633"/>
      <c r="E56" s="633"/>
      <c r="F56" s="633"/>
      <c r="G56" s="633"/>
      <c r="H56" s="633"/>
      <c r="I56" s="633"/>
      <c r="J56" s="633"/>
      <c r="K56" s="633"/>
      <c r="L56" s="633"/>
      <c r="M56" s="633"/>
      <c r="N56" s="633"/>
      <c r="O56" s="633"/>
      <c r="P56" s="633"/>
      <c r="Q56" s="633"/>
      <c r="R56" s="633"/>
      <c r="S56" s="633"/>
      <c r="T56" s="633"/>
      <c r="U56" s="523"/>
      <c r="V56" s="523"/>
      <c r="W56" s="523"/>
      <c r="X56" s="523"/>
      <c r="Y56" s="523"/>
      <c r="Z56" s="523"/>
      <c r="AA56" s="523"/>
      <c r="AB56" s="523"/>
      <c r="AC56" s="519"/>
    </row>
    <row r="57" spans="1:29" s="524" customFormat="1">
      <c r="A57" s="633"/>
      <c r="B57" s="522"/>
      <c r="C57" s="633"/>
      <c r="D57" s="633"/>
      <c r="E57" s="633"/>
      <c r="F57" s="633"/>
      <c r="G57" s="633"/>
      <c r="H57" s="633"/>
      <c r="I57" s="633"/>
      <c r="J57" s="633"/>
      <c r="K57" s="633"/>
      <c r="L57" s="633"/>
      <c r="M57" s="633"/>
      <c r="N57" s="633"/>
      <c r="O57" s="633"/>
      <c r="P57" s="633"/>
      <c r="Q57" s="633"/>
      <c r="R57" s="633"/>
      <c r="S57" s="633"/>
      <c r="T57" s="633"/>
      <c r="U57" s="523"/>
      <c r="V57" s="523"/>
      <c r="W57" s="523"/>
      <c r="X57" s="523"/>
      <c r="Y57" s="523"/>
      <c r="Z57" s="523"/>
      <c r="AA57" s="523"/>
      <c r="AB57" s="523"/>
      <c r="AC57" s="519"/>
    </row>
    <row r="58" spans="1:29" s="524" customFormat="1">
      <c r="A58" s="633"/>
      <c r="B58" s="522"/>
      <c r="C58" s="633"/>
      <c r="D58" s="633"/>
      <c r="E58" s="633"/>
      <c r="F58" s="633"/>
      <c r="G58" s="633"/>
      <c r="H58" s="633"/>
      <c r="I58" s="633"/>
      <c r="J58" s="633"/>
      <c r="K58" s="633"/>
      <c r="L58" s="633"/>
      <c r="M58" s="633"/>
      <c r="N58" s="633"/>
      <c r="O58" s="633"/>
      <c r="P58" s="633"/>
      <c r="Q58" s="633"/>
      <c r="R58" s="633"/>
      <c r="S58" s="633"/>
      <c r="T58" s="633"/>
      <c r="U58" s="523"/>
      <c r="V58" s="523"/>
      <c r="W58" s="523"/>
      <c r="X58" s="523"/>
      <c r="Y58" s="523"/>
      <c r="Z58" s="523"/>
      <c r="AA58" s="523"/>
      <c r="AB58" s="523"/>
      <c r="AC58" s="519"/>
    </row>
    <row r="59" spans="1:29" s="524" customFormat="1">
      <c r="A59" s="633"/>
      <c r="B59" s="522"/>
      <c r="C59" s="633"/>
      <c r="D59" s="633"/>
      <c r="E59" s="633"/>
      <c r="F59" s="633"/>
      <c r="G59" s="633"/>
      <c r="H59" s="633"/>
      <c r="I59" s="633"/>
      <c r="J59" s="633"/>
      <c r="K59" s="633"/>
      <c r="L59" s="633"/>
      <c r="M59" s="633"/>
      <c r="N59" s="633"/>
      <c r="O59" s="633"/>
      <c r="P59" s="633"/>
      <c r="Q59" s="633"/>
      <c r="R59" s="633"/>
      <c r="S59" s="633"/>
      <c r="T59" s="633"/>
      <c r="U59" s="523"/>
      <c r="V59" s="523"/>
      <c r="W59" s="523"/>
      <c r="X59" s="523"/>
      <c r="Y59" s="523"/>
      <c r="Z59" s="523"/>
      <c r="AA59" s="523"/>
      <c r="AB59" s="523"/>
      <c r="AC59" s="519"/>
    </row>
    <row r="60" spans="1:29" s="524" customFormat="1">
      <c r="A60" s="633"/>
      <c r="B60" s="522"/>
      <c r="C60" s="633"/>
      <c r="D60" s="633"/>
      <c r="E60" s="633"/>
      <c r="F60" s="633"/>
      <c r="G60" s="633"/>
      <c r="H60" s="633"/>
      <c r="I60" s="633"/>
      <c r="J60" s="633"/>
      <c r="K60" s="633"/>
      <c r="L60" s="633"/>
      <c r="M60" s="633"/>
      <c r="N60" s="633"/>
      <c r="O60" s="633"/>
      <c r="P60" s="633"/>
      <c r="Q60" s="633"/>
      <c r="R60" s="633"/>
      <c r="S60" s="633"/>
      <c r="T60" s="633"/>
      <c r="U60" s="523"/>
      <c r="V60" s="523"/>
      <c r="W60" s="523"/>
      <c r="X60" s="523"/>
      <c r="Y60" s="523"/>
      <c r="Z60" s="523"/>
      <c r="AA60" s="523"/>
      <c r="AB60" s="523"/>
      <c r="AC60" s="519"/>
    </row>
    <row r="61" spans="1:29" s="524" customFormat="1">
      <c r="A61" s="633"/>
      <c r="B61" s="522"/>
      <c r="C61" s="633"/>
      <c r="D61" s="633"/>
      <c r="E61" s="633"/>
      <c r="F61" s="633"/>
      <c r="G61" s="633"/>
      <c r="H61" s="633"/>
      <c r="I61" s="633"/>
      <c r="J61" s="633"/>
      <c r="K61" s="633"/>
      <c r="L61" s="633"/>
      <c r="M61" s="633"/>
      <c r="N61" s="633"/>
      <c r="O61" s="633"/>
      <c r="P61" s="633"/>
      <c r="Q61" s="633"/>
      <c r="R61" s="633"/>
      <c r="S61" s="633"/>
      <c r="T61" s="633"/>
      <c r="U61" s="523"/>
      <c r="V61" s="523"/>
      <c r="W61" s="523"/>
      <c r="X61" s="523"/>
      <c r="Y61" s="523"/>
      <c r="Z61" s="523"/>
      <c r="AA61" s="523"/>
      <c r="AB61" s="523"/>
      <c r="AC61" s="519"/>
    </row>
    <row r="62" spans="1:29" s="524" customFormat="1">
      <c r="A62" s="633"/>
      <c r="B62" s="522"/>
      <c r="C62" s="633"/>
      <c r="D62" s="633"/>
      <c r="E62" s="633"/>
      <c r="F62" s="633"/>
      <c r="G62" s="633"/>
      <c r="H62" s="633"/>
      <c r="I62" s="633"/>
      <c r="J62" s="633"/>
      <c r="K62" s="633"/>
      <c r="L62" s="633"/>
      <c r="M62" s="633"/>
      <c r="N62" s="633"/>
      <c r="O62" s="633"/>
      <c r="P62" s="633"/>
      <c r="Q62" s="633"/>
      <c r="R62" s="633"/>
      <c r="S62" s="633"/>
      <c r="T62" s="633"/>
      <c r="U62" s="523"/>
      <c r="V62" s="523"/>
      <c r="W62" s="523"/>
      <c r="X62" s="523"/>
      <c r="Y62" s="523"/>
      <c r="Z62" s="523"/>
      <c r="AA62" s="523"/>
      <c r="AB62" s="523"/>
      <c r="AC62" s="519"/>
    </row>
    <row r="63" spans="1:29" s="524" customFormat="1">
      <c r="A63" s="633"/>
      <c r="B63" s="522"/>
      <c r="C63" s="633"/>
      <c r="D63" s="633"/>
      <c r="E63" s="633"/>
      <c r="F63" s="633"/>
      <c r="G63" s="633"/>
      <c r="H63" s="633"/>
      <c r="I63" s="633"/>
      <c r="J63" s="633"/>
      <c r="K63" s="633"/>
      <c r="L63" s="633"/>
      <c r="M63" s="633"/>
      <c r="N63" s="633"/>
      <c r="O63" s="633"/>
      <c r="P63" s="633"/>
      <c r="Q63" s="633"/>
      <c r="R63" s="633"/>
      <c r="S63" s="633"/>
      <c r="T63" s="633"/>
      <c r="U63" s="523"/>
      <c r="V63" s="523"/>
      <c r="W63" s="523"/>
      <c r="X63" s="523"/>
      <c r="Y63" s="523"/>
      <c r="Z63" s="523"/>
      <c r="AA63" s="523"/>
      <c r="AB63" s="523"/>
      <c r="AC63" s="519"/>
    </row>
    <row r="64" spans="1:29" s="524" customFormat="1">
      <c r="A64" s="633"/>
      <c r="B64" s="522"/>
      <c r="C64" s="633"/>
      <c r="D64" s="633"/>
      <c r="E64" s="633"/>
      <c r="F64" s="633"/>
      <c r="G64" s="633"/>
      <c r="H64" s="633"/>
      <c r="I64" s="633"/>
      <c r="J64" s="633"/>
      <c r="K64" s="633"/>
      <c r="L64" s="633"/>
      <c r="M64" s="633"/>
      <c r="N64" s="633"/>
      <c r="O64" s="633"/>
      <c r="P64" s="633"/>
      <c r="Q64" s="633"/>
      <c r="R64" s="633"/>
      <c r="S64" s="633"/>
      <c r="T64" s="633"/>
      <c r="U64" s="523"/>
      <c r="V64" s="523"/>
      <c r="W64" s="523"/>
      <c r="X64" s="523"/>
      <c r="Y64" s="523"/>
      <c r="Z64" s="523"/>
      <c r="AA64" s="523"/>
      <c r="AB64" s="523"/>
      <c r="AC64" s="519"/>
    </row>
    <row r="65" spans="1:29" s="524" customFormat="1">
      <c r="A65" s="633"/>
      <c r="B65" s="522"/>
      <c r="C65" s="633"/>
      <c r="D65" s="633"/>
      <c r="E65" s="633"/>
      <c r="F65" s="633"/>
      <c r="G65" s="633"/>
      <c r="H65" s="633"/>
      <c r="I65" s="633"/>
      <c r="J65" s="633"/>
      <c r="K65" s="633"/>
      <c r="L65" s="633"/>
      <c r="M65" s="633"/>
      <c r="N65" s="633"/>
      <c r="O65" s="633"/>
      <c r="P65" s="633"/>
      <c r="Q65" s="633"/>
      <c r="R65" s="633"/>
      <c r="S65" s="633"/>
      <c r="T65" s="633"/>
      <c r="U65" s="523"/>
      <c r="V65" s="523"/>
      <c r="W65" s="523"/>
      <c r="X65" s="523"/>
      <c r="Y65" s="523"/>
      <c r="Z65" s="523"/>
      <c r="AA65" s="523"/>
      <c r="AB65" s="523"/>
      <c r="AC65" s="519"/>
    </row>
    <row r="66" spans="1:29" s="524" customFormat="1">
      <c r="A66" s="633"/>
      <c r="B66" s="522"/>
      <c r="C66" s="633"/>
      <c r="D66" s="633"/>
      <c r="E66" s="633"/>
      <c r="F66" s="633"/>
      <c r="G66" s="633"/>
      <c r="H66" s="633"/>
      <c r="I66" s="633"/>
      <c r="J66" s="633"/>
      <c r="K66" s="633"/>
      <c r="L66" s="633"/>
      <c r="M66" s="633"/>
      <c r="N66" s="633"/>
      <c r="O66" s="633"/>
      <c r="P66" s="633"/>
      <c r="Q66" s="633"/>
      <c r="R66" s="633"/>
      <c r="S66" s="633"/>
      <c r="T66" s="633"/>
      <c r="U66" s="523"/>
      <c r="V66" s="523"/>
      <c r="W66" s="523"/>
      <c r="X66" s="523"/>
      <c r="Y66" s="523"/>
      <c r="Z66" s="523"/>
      <c r="AA66" s="523"/>
      <c r="AB66" s="523"/>
      <c r="AC66" s="519"/>
    </row>
    <row r="67" spans="1:29" s="524" customFormat="1">
      <c r="A67" s="633"/>
      <c r="B67" s="522"/>
      <c r="C67" s="633"/>
      <c r="D67" s="633"/>
      <c r="E67" s="633"/>
      <c r="F67" s="633"/>
      <c r="G67" s="633"/>
      <c r="H67" s="633"/>
      <c r="I67" s="633"/>
      <c r="J67" s="633"/>
      <c r="K67" s="633"/>
      <c r="L67" s="633"/>
      <c r="M67" s="633"/>
      <c r="N67" s="633"/>
      <c r="O67" s="633"/>
      <c r="P67" s="633"/>
      <c r="Q67" s="633"/>
      <c r="R67" s="633"/>
      <c r="S67" s="633"/>
      <c r="T67" s="633"/>
      <c r="U67" s="523"/>
      <c r="V67" s="523"/>
      <c r="W67" s="523"/>
      <c r="X67" s="523"/>
      <c r="Y67" s="523"/>
      <c r="Z67" s="523"/>
      <c r="AA67" s="523"/>
      <c r="AB67" s="523"/>
      <c r="AC67" s="519"/>
    </row>
    <row r="68" spans="1:29" s="524" customFormat="1">
      <c r="A68" s="633"/>
      <c r="B68" s="522"/>
      <c r="C68" s="633"/>
      <c r="D68" s="633"/>
      <c r="E68" s="633"/>
      <c r="F68" s="633"/>
      <c r="G68" s="633"/>
      <c r="H68" s="633"/>
      <c r="I68" s="633"/>
      <c r="J68" s="633"/>
      <c r="K68" s="633"/>
      <c r="L68" s="633"/>
      <c r="M68" s="633"/>
      <c r="N68" s="633"/>
      <c r="O68" s="633"/>
      <c r="P68" s="633"/>
      <c r="Q68" s="633"/>
      <c r="R68" s="633"/>
      <c r="S68" s="633"/>
      <c r="T68" s="633"/>
      <c r="U68" s="523"/>
      <c r="V68" s="523"/>
      <c r="W68" s="523"/>
      <c r="X68" s="523"/>
      <c r="Y68" s="523"/>
      <c r="Z68" s="523"/>
      <c r="AA68" s="523"/>
      <c r="AB68" s="523"/>
      <c r="AC68" s="519"/>
    </row>
    <row r="69" spans="1:29" s="524" customFormat="1">
      <c r="A69" s="633"/>
      <c r="B69" s="522"/>
      <c r="C69" s="633"/>
      <c r="D69" s="633"/>
      <c r="E69" s="633"/>
      <c r="F69" s="633"/>
      <c r="G69" s="633"/>
      <c r="H69" s="633"/>
      <c r="I69" s="633"/>
      <c r="J69" s="633"/>
      <c r="K69" s="633"/>
      <c r="L69" s="633"/>
      <c r="M69" s="633"/>
      <c r="N69" s="633"/>
      <c r="O69" s="633"/>
      <c r="P69" s="633"/>
      <c r="Q69" s="633"/>
      <c r="R69" s="633"/>
      <c r="S69" s="633"/>
      <c r="T69" s="633"/>
      <c r="U69" s="523"/>
      <c r="V69" s="523"/>
      <c r="W69" s="523"/>
      <c r="X69" s="523"/>
      <c r="Y69" s="523"/>
      <c r="Z69" s="523"/>
      <c r="AA69" s="523"/>
      <c r="AB69" s="523"/>
      <c r="AC69" s="519"/>
    </row>
    <row r="70" spans="1:29" s="524" customFormat="1">
      <c r="A70" s="633"/>
      <c r="B70" s="522"/>
      <c r="C70" s="633"/>
      <c r="D70" s="633"/>
      <c r="E70" s="633"/>
      <c r="F70" s="633"/>
      <c r="G70" s="633"/>
      <c r="H70" s="633"/>
      <c r="I70" s="633"/>
      <c r="J70" s="633"/>
      <c r="K70" s="633"/>
      <c r="L70" s="633"/>
      <c r="M70" s="633"/>
      <c r="N70" s="633"/>
      <c r="O70" s="633"/>
      <c r="P70" s="633"/>
      <c r="Q70" s="633"/>
      <c r="R70" s="633"/>
      <c r="S70" s="633"/>
      <c r="T70" s="633"/>
      <c r="U70" s="523"/>
      <c r="V70" s="523"/>
      <c r="W70" s="523"/>
      <c r="X70" s="523"/>
      <c r="Y70" s="523"/>
      <c r="Z70" s="523"/>
      <c r="AA70" s="523"/>
      <c r="AB70" s="523"/>
      <c r="AC70" s="519"/>
    </row>
    <row r="71" spans="1:29" s="524" customFormat="1">
      <c r="A71" s="633"/>
      <c r="B71" s="522"/>
      <c r="C71" s="633"/>
      <c r="D71" s="633"/>
      <c r="E71" s="633"/>
      <c r="F71" s="633"/>
      <c r="G71" s="633"/>
      <c r="H71" s="633"/>
      <c r="I71" s="633"/>
      <c r="J71" s="633"/>
      <c r="K71" s="633"/>
      <c r="L71" s="633"/>
      <c r="M71" s="633"/>
      <c r="N71" s="633"/>
      <c r="O71" s="633"/>
      <c r="P71" s="633"/>
      <c r="Q71" s="633"/>
      <c r="R71" s="633"/>
      <c r="S71" s="633"/>
      <c r="T71" s="633"/>
      <c r="U71" s="523"/>
      <c r="V71" s="523"/>
      <c r="W71" s="523"/>
      <c r="X71" s="523"/>
      <c r="Y71" s="523"/>
      <c r="Z71" s="523"/>
      <c r="AA71" s="523"/>
      <c r="AB71" s="523"/>
      <c r="AC71" s="519"/>
    </row>
    <row r="72" spans="1:29" s="524" customFormat="1">
      <c r="A72" s="633"/>
      <c r="B72" s="522"/>
      <c r="C72" s="633"/>
      <c r="D72" s="633"/>
      <c r="E72" s="633"/>
      <c r="F72" s="633"/>
      <c r="G72" s="633"/>
      <c r="H72" s="633"/>
      <c r="I72" s="633"/>
      <c r="J72" s="633"/>
      <c r="K72" s="633"/>
      <c r="L72" s="633"/>
      <c r="M72" s="633"/>
      <c r="N72" s="633"/>
      <c r="O72" s="633"/>
      <c r="P72" s="633"/>
      <c r="Q72" s="633"/>
      <c r="R72" s="633"/>
      <c r="S72" s="633"/>
      <c r="T72" s="633"/>
      <c r="U72" s="523"/>
      <c r="V72" s="523"/>
      <c r="W72" s="523"/>
      <c r="X72" s="523"/>
      <c r="Y72" s="523"/>
      <c r="Z72" s="523"/>
      <c r="AA72" s="523"/>
      <c r="AB72" s="523"/>
      <c r="AC72" s="519"/>
    </row>
    <row r="73" spans="1:29" s="524" customFormat="1">
      <c r="A73" s="633"/>
      <c r="B73" s="522"/>
      <c r="C73" s="633"/>
      <c r="D73" s="633"/>
      <c r="E73" s="633"/>
      <c r="F73" s="633"/>
      <c r="G73" s="633"/>
      <c r="H73" s="633"/>
      <c r="I73" s="633"/>
      <c r="J73" s="633"/>
      <c r="K73" s="633"/>
      <c r="L73" s="633"/>
      <c r="M73" s="633"/>
      <c r="N73" s="633"/>
      <c r="O73" s="633"/>
      <c r="P73" s="633"/>
      <c r="Q73" s="633"/>
      <c r="R73" s="633"/>
      <c r="S73" s="633"/>
      <c r="T73" s="633"/>
      <c r="U73" s="523"/>
      <c r="V73" s="523"/>
      <c r="W73" s="523"/>
      <c r="X73" s="523"/>
      <c r="Y73" s="523"/>
      <c r="Z73" s="523"/>
      <c r="AA73" s="523"/>
      <c r="AB73" s="523"/>
      <c r="AC73" s="519"/>
    </row>
    <row r="74" spans="1:29" s="524" customFormat="1">
      <c r="A74" s="633"/>
      <c r="B74" s="522"/>
      <c r="C74" s="633"/>
      <c r="D74" s="633"/>
      <c r="E74" s="633"/>
      <c r="F74" s="633"/>
      <c r="G74" s="633"/>
      <c r="H74" s="633"/>
      <c r="I74" s="633"/>
      <c r="J74" s="633"/>
      <c r="K74" s="633"/>
      <c r="L74" s="633"/>
      <c r="M74" s="633"/>
      <c r="N74" s="633"/>
      <c r="O74" s="633"/>
      <c r="P74" s="633"/>
      <c r="Q74" s="633"/>
      <c r="R74" s="633"/>
      <c r="S74" s="633"/>
      <c r="T74" s="633"/>
      <c r="U74" s="523"/>
      <c r="V74" s="523"/>
      <c r="W74" s="523"/>
      <c r="X74" s="523"/>
      <c r="Y74" s="523"/>
      <c r="Z74" s="523"/>
      <c r="AA74" s="523"/>
      <c r="AB74" s="523"/>
      <c r="AC74" s="519"/>
    </row>
    <row r="75" spans="1:29" s="524" customFormat="1">
      <c r="A75" s="633"/>
      <c r="B75" s="522"/>
      <c r="C75" s="633"/>
      <c r="D75" s="633"/>
      <c r="E75" s="633"/>
      <c r="F75" s="633"/>
      <c r="G75" s="633"/>
      <c r="H75" s="633"/>
      <c r="I75" s="633"/>
      <c r="J75" s="633"/>
      <c r="K75" s="633"/>
      <c r="L75" s="633"/>
      <c r="M75" s="633"/>
      <c r="N75" s="633"/>
      <c r="O75" s="633"/>
      <c r="P75" s="633"/>
      <c r="Q75" s="633"/>
      <c r="R75" s="633"/>
      <c r="S75" s="633"/>
      <c r="T75" s="633"/>
      <c r="U75" s="523"/>
      <c r="V75" s="523"/>
      <c r="W75" s="523"/>
      <c r="X75" s="523"/>
      <c r="Y75" s="523"/>
      <c r="Z75" s="523"/>
      <c r="AA75" s="523"/>
      <c r="AB75" s="523"/>
      <c r="AC75" s="519"/>
    </row>
    <row r="76" spans="1:29" s="524" customFormat="1">
      <c r="A76" s="633"/>
      <c r="B76" s="522"/>
      <c r="C76" s="633"/>
      <c r="D76" s="633"/>
      <c r="E76" s="633"/>
      <c r="F76" s="633"/>
      <c r="G76" s="633"/>
      <c r="H76" s="633"/>
      <c r="I76" s="633"/>
      <c r="J76" s="633"/>
      <c r="K76" s="633"/>
      <c r="L76" s="633"/>
      <c r="M76" s="633"/>
      <c r="N76" s="633"/>
      <c r="O76" s="633"/>
      <c r="P76" s="633"/>
      <c r="Q76" s="633"/>
      <c r="R76" s="633"/>
      <c r="S76" s="633"/>
      <c r="T76" s="633"/>
      <c r="U76" s="523"/>
      <c r="V76" s="523"/>
      <c r="W76" s="523"/>
      <c r="X76" s="523"/>
      <c r="Y76" s="523"/>
      <c r="Z76" s="523"/>
      <c r="AA76" s="523"/>
      <c r="AB76" s="523"/>
      <c r="AC76" s="519"/>
    </row>
    <row r="77" spans="1:29" s="524" customFormat="1">
      <c r="A77" s="633"/>
      <c r="B77" s="522"/>
      <c r="C77" s="633"/>
      <c r="D77" s="633"/>
      <c r="E77" s="633"/>
      <c r="F77" s="633"/>
      <c r="G77" s="633"/>
      <c r="H77" s="633"/>
      <c r="I77" s="633"/>
      <c r="J77" s="633"/>
      <c r="K77" s="633"/>
      <c r="L77" s="633"/>
      <c r="M77" s="633"/>
      <c r="N77" s="633"/>
      <c r="O77" s="633"/>
      <c r="P77" s="633"/>
      <c r="Q77" s="633"/>
      <c r="R77" s="633"/>
      <c r="S77" s="633"/>
      <c r="T77" s="633"/>
      <c r="U77" s="523"/>
      <c r="V77" s="523"/>
      <c r="W77" s="523"/>
      <c r="X77" s="523"/>
      <c r="Y77" s="523"/>
      <c r="Z77" s="523"/>
      <c r="AA77" s="523"/>
      <c r="AB77" s="523"/>
      <c r="AC77" s="519"/>
    </row>
    <row r="78" spans="1:29" s="524" customFormat="1">
      <c r="A78" s="633"/>
      <c r="B78" s="522"/>
      <c r="C78" s="633"/>
      <c r="D78" s="633"/>
      <c r="E78" s="633"/>
      <c r="F78" s="633"/>
      <c r="G78" s="633"/>
      <c r="H78" s="633"/>
      <c r="I78" s="633"/>
      <c r="J78" s="633"/>
      <c r="K78" s="633"/>
      <c r="L78" s="633"/>
      <c r="M78" s="633"/>
      <c r="N78" s="633"/>
      <c r="O78" s="633"/>
      <c r="P78" s="633"/>
      <c r="Q78" s="633"/>
      <c r="R78" s="633"/>
      <c r="S78" s="633"/>
      <c r="T78" s="633"/>
      <c r="U78" s="523"/>
      <c r="V78" s="523"/>
      <c r="W78" s="523"/>
      <c r="X78" s="523"/>
      <c r="Y78" s="523"/>
      <c r="Z78" s="523"/>
      <c r="AA78" s="523"/>
      <c r="AB78" s="523"/>
      <c r="AC78" s="519"/>
    </row>
    <row r="79" spans="1:29" s="524" customFormat="1">
      <c r="A79" s="633"/>
      <c r="B79" s="522"/>
      <c r="C79" s="633"/>
      <c r="D79" s="633"/>
      <c r="E79" s="633"/>
      <c r="F79" s="633"/>
      <c r="G79" s="633"/>
      <c r="H79" s="633"/>
      <c r="I79" s="633"/>
      <c r="J79" s="633"/>
      <c r="K79" s="633"/>
      <c r="L79" s="633"/>
      <c r="M79" s="633"/>
      <c r="N79" s="633"/>
      <c r="O79" s="633"/>
      <c r="P79" s="633"/>
      <c r="Q79" s="633"/>
      <c r="R79" s="633"/>
      <c r="S79" s="633"/>
      <c r="T79" s="633"/>
      <c r="U79" s="523"/>
      <c r="V79" s="523"/>
      <c r="W79" s="523"/>
      <c r="X79" s="523"/>
      <c r="Y79" s="523"/>
      <c r="Z79" s="523"/>
      <c r="AA79" s="523"/>
      <c r="AB79" s="523"/>
      <c r="AC79" s="519"/>
    </row>
  </sheetData>
  <mergeCells count="56">
    <mergeCell ref="A2:Y2"/>
    <mergeCell ref="A3:Y3"/>
    <mergeCell ref="A7:A9"/>
    <mergeCell ref="B7:B9"/>
    <mergeCell ref="C7:E7"/>
    <mergeCell ref="F7:H7"/>
    <mergeCell ref="I7:K7"/>
    <mergeCell ref="L7:N7"/>
    <mergeCell ref="O7:Q7"/>
    <mergeCell ref="R7:T7"/>
    <mergeCell ref="AA7:AA9"/>
    <mergeCell ref="AB7:AB9"/>
    <mergeCell ref="AC7:AC9"/>
    <mergeCell ref="C8:E8"/>
    <mergeCell ref="F8:H8"/>
    <mergeCell ref="I8:K8"/>
    <mergeCell ref="L8:N8"/>
    <mergeCell ref="O8:Q8"/>
    <mergeCell ref="R8:T8"/>
    <mergeCell ref="U7:U9"/>
    <mergeCell ref="V7:V9"/>
    <mergeCell ref="W7:W9"/>
    <mergeCell ref="X7:X9"/>
    <mergeCell ref="Y7:Y9"/>
    <mergeCell ref="Z7:Z9"/>
    <mergeCell ref="AA12:AA19"/>
    <mergeCell ref="AC12:AC19"/>
    <mergeCell ref="A20:A28"/>
    <mergeCell ref="U20:U28"/>
    <mergeCell ref="V20:V28"/>
    <mergeCell ref="W20:W28"/>
    <mergeCell ref="X20:X28"/>
    <mergeCell ref="Y20:Y28"/>
    <mergeCell ref="AA20:AA28"/>
    <mergeCell ref="AC20:AC28"/>
    <mergeCell ref="A12:A19"/>
    <mergeCell ref="U12:U19"/>
    <mergeCell ref="V12:V19"/>
    <mergeCell ref="W12:W19"/>
    <mergeCell ref="X12:X19"/>
    <mergeCell ref="Y12:Y19"/>
    <mergeCell ref="A48:W48"/>
    <mergeCell ref="A49:W49"/>
    <mergeCell ref="A50:W50"/>
    <mergeCell ref="AA29:AA31"/>
    <mergeCell ref="AC29:AC31"/>
    <mergeCell ref="A42:Y42"/>
    <mergeCell ref="A43:Y43"/>
    <mergeCell ref="A46:W46"/>
    <mergeCell ref="A47:W47"/>
    <mergeCell ref="A29:A31"/>
    <mergeCell ref="U29:U31"/>
    <mergeCell ref="V29:V31"/>
    <mergeCell ref="W29:W31"/>
    <mergeCell ref="X29:X31"/>
    <mergeCell ref="Y29:Y31"/>
  </mergeCells>
  <pageMargins left="0.23622047244094491" right="0.23622047244094491" top="0.59055118110236227" bottom="0.59055118110236227" header="0.23622047244094491" footer="0.39370078740157483"/>
  <pageSetup paperSize="9" scale="55" orientation="portrait" r:id="rId1"/>
  <headerFooter>
    <oddHeader>&amp;LVeresegyház Város Önkormányzat</oddHeader>
    <oddFooter>&amp;LVeresegyház, 2013. Augusztus 05.&amp;C&amp;P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H90"/>
  <sheetViews>
    <sheetView view="pageLayout" workbookViewId="0">
      <selection activeCell="F23" sqref="F23"/>
    </sheetView>
  </sheetViews>
  <sheetFormatPr defaultRowHeight="13.2"/>
  <cols>
    <col min="4" max="4" width="9.109375" customWidth="1"/>
    <col min="5" max="5" width="13.88671875" customWidth="1"/>
    <col min="6" max="6" width="11.109375" customWidth="1"/>
    <col min="7" max="7" width="11.5546875" customWidth="1"/>
    <col min="8" max="8" width="13.6640625" customWidth="1"/>
  </cols>
  <sheetData>
    <row r="1" spans="1:8">
      <c r="H1" s="21" t="s">
        <v>325</v>
      </c>
    </row>
    <row r="3" spans="1:8" ht="15">
      <c r="F3" s="7"/>
    </row>
    <row r="4" spans="1:8">
      <c r="A4" s="757"/>
      <c r="B4" s="757"/>
      <c r="C4" s="757"/>
      <c r="D4" s="757"/>
      <c r="E4" s="757"/>
      <c r="F4" s="757"/>
      <c r="G4" s="757"/>
      <c r="H4" s="757"/>
    </row>
    <row r="5" spans="1:8">
      <c r="A5" s="21"/>
      <c r="B5" s="21"/>
      <c r="C5" s="21"/>
      <c r="D5" s="21"/>
      <c r="E5" s="74"/>
    </row>
    <row r="6" spans="1:8">
      <c r="A6" s="775" t="s">
        <v>276</v>
      </c>
      <c r="B6" s="775"/>
      <c r="C6" s="775"/>
      <c r="D6" s="775"/>
      <c r="E6" s="775"/>
      <c r="F6" s="775"/>
      <c r="G6" s="775"/>
      <c r="H6" s="775"/>
    </row>
    <row r="7" spans="1:8">
      <c r="A7" s="73"/>
      <c r="B7" s="73"/>
      <c r="C7" s="73"/>
      <c r="D7" s="73"/>
      <c r="E7" s="261">
        <v>41455</v>
      </c>
    </row>
    <row r="8" spans="1:8">
      <c r="A8" s="725" t="s">
        <v>275</v>
      </c>
      <c r="B8" s="725"/>
      <c r="C8" s="725"/>
      <c r="D8" s="725"/>
      <c r="E8" s="725"/>
      <c r="F8" s="725"/>
      <c r="G8" s="725"/>
      <c r="H8" s="725"/>
    </row>
    <row r="9" spans="1:8" ht="17.25" customHeight="1">
      <c r="A9" s="749" t="s">
        <v>125</v>
      </c>
      <c r="B9" s="871"/>
      <c r="C9" s="871"/>
      <c r="D9" s="872"/>
      <c r="E9" s="717" t="s">
        <v>743</v>
      </c>
      <c r="F9" s="739"/>
      <c r="G9" s="739"/>
      <c r="H9" s="740"/>
    </row>
    <row r="10" spans="1:8" ht="25.8" customHeight="1">
      <c r="A10" s="752"/>
      <c r="B10" s="873"/>
      <c r="C10" s="873"/>
      <c r="D10" s="874"/>
      <c r="E10" s="72" t="s">
        <v>174</v>
      </c>
      <c r="F10" s="72" t="s">
        <v>165</v>
      </c>
      <c r="G10" s="72" t="s">
        <v>204</v>
      </c>
      <c r="H10" s="72" t="s">
        <v>15</v>
      </c>
    </row>
    <row r="11" spans="1:8" ht="18" customHeight="1">
      <c r="A11" s="868"/>
      <c r="B11" s="869"/>
      <c r="C11" s="869"/>
      <c r="D11" s="870"/>
      <c r="E11" s="9"/>
      <c r="F11" s="60"/>
      <c r="G11" s="60"/>
      <c r="H11" s="60"/>
    </row>
    <row r="12" spans="1:8" ht="18" customHeight="1">
      <c r="A12" s="868"/>
      <c r="B12" s="869"/>
      <c r="C12" s="869"/>
      <c r="D12" s="870"/>
      <c r="E12" s="9"/>
      <c r="F12" s="60"/>
      <c r="G12" s="60"/>
      <c r="H12" s="60"/>
    </row>
    <row r="13" spans="1:8" ht="18" customHeight="1">
      <c r="A13" s="868" t="s">
        <v>166</v>
      </c>
      <c r="B13" s="869"/>
      <c r="C13" s="869"/>
      <c r="D13" s="870"/>
      <c r="E13" s="9"/>
      <c r="F13" s="60"/>
      <c r="G13" s="60"/>
      <c r="H13" s="60"/>
    </row>
    <row r="14" spans="1:8" ht="16.5" customHeight="1">
      <c r="A14" s="868"/>
      <c r="B14" s="869"/>
      <c r="C14" s="869"/>
      <c r="D14" s="870"/>
      <c r="E14" s="9"/>
      <c r="F14" s="60"/>
      <c r="G14" s="60"/>
      <c r="H14" s="60"/>
    </row>
    <row r="15" spans="1:8" ht="18" customHeight="1">
      <c r="A15" s="868"/>
      <c r="B15" s="869"/>
      <c r="C15" s="869"/>
      <c r="D15" s="870"/>
      <c r="E15" s="9"/>
      <c r="F15" s="60"/>
      <c r="G15" s="60"/>
      <c r="H15" s="60"/>
    </row>
    <row r="16" spans="1:8" ht="16.5" customHeight="1">
      <c r="A16" s="868"/>
      <c r="B16" s="869"/>
      <c r="C16" s="869"/>
      <c r="D16" s="870"/>
      <c r="E16" s="9"/>
      <c r="F16" s="59"/>
      <c r="G16" s="60"/>
      <c r="H16" s="60"/>
    </row>
    <row r="17" spans="1:8" ht="18" customHeight="1">
      <c r="A17" s="868"/>
      <c r="B17" s="869"/>
      <c r="C17" s="869"/>
      <c r="D17" s="870"/>
      <c r="E17" s="9"/>
      <c r="F17" s="60"/>
      <c r="G17" s="60"/>
      <c r="H17" s="60"/>
    </row>
    <row r="18" spans="1:8" ht="17.25" customHeight="1">
      <c r="A18" s="868"/>
      <c r="B18" s="869"/>
      <c r="C18" s="869"/>
      <c r="D18" s="870"/>
      <c r="E18" s="9"/>
      <c r="F18" s="60"/>
      <c r="G18" s="60"/>
      <c r="H18" s="60"/>
    </row>
    <row r="19" spans="1:8" ht="18" customHeight="1">
      <c r="A19" s="866" t="s">
        <v>274</v>
      </c>
      <c r="B19" s="867"/>
      <c r="C19" s="867"/>
      <c r="D19" s="867"/>
      <c r="E19" s="70"/>
      <c r="F19" s="60"/>
      <c r="G19" s="60"/>
      <c r="H19" s="60"/>
    </row>
    <row r="90" ht="18" customHeight="1"/>
  </sheetData>
  <mergeCells count="14">
    <mergeCell ref="A4:H4"/>
    <mergeCell ref="A6:H6"/>
    <mergeCell ref="A13:D13"/>
    <mergeCell ref="A14:D14"/>
    <mergeCell ref="A15:D15"/>
    <mergeCell ref="A9:D10"/>
    <mergeCell ref="E9:H9"/>
    <mergeCell ref="A8:H8"/>
    <mergeCell ref="A19:D19"/>
    <mergeCell ref="A11:D11"/>
    <mergeCell ref="A12:D12"/>
    <mergeCell ref="A16:D16"/>
    <mergeCell ref="A17:D17"/>
    <mergeCell ref="A18:D18"/>
  </mergeCells>
  <printOptions horizontalCentered="1"/>
  <pageMargins left="0.23622047244094491" right="0.23622047244094491" top="0.31496062992125984" bottom="0.15748031496062992" header="0.15748031496062992" footer="0.19685039370078741"/>
  <pageSetup paperSize="9" scale="80" orientation="portrait" r:id="rId1"/>
  <headerFooter alignWithMargins="0">
    <oddHeader>&amp;LVeresegyház Város Önkormányzat</oddHeader>
    <oddFooter>&amp;LVeresegyház, 2013. Szeptember 03.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L39"/>
  <sheetViews>
    <sheetView workbookViewId="0">
      <selection activeCell="H44" sqref="H44"/>
    </sheetView>
  </sheetViews>
  <sheetFormatPr defaultRowHeight="13.2"/>
  <cols>
    <col min="2" max="2" width="37" customWidth="1"/>
    <col min="3" max="3" width="14.33203125" customWidth="1"/>
    <col min="4" max="4" width="12.109375" customWidth="1"/>
    <col min="5" max="5" width="12" customWidth="1"/>
    <col min="6" max="6" width="12.6640625" customWidth="1"/>
    <col min="7" max="8" width="14.44140625" customWidth="1"/>
    <col min="9" max="9" width="11.5546875" customWidth="1"/>
    <col min="10" max="10" width="11.88671875" customWidth="1"/>
    <col min="11" max="11" width="10.6640625" customWidth="1"/>
    <col min="12" max="12" width="10.5546875" customWidth="1"/>
    <col min="258" max="258" width="37" customWidth="1"/>
    <col min="259" max="259" width="14.33203125" customWidth="1"/>
    <col min="260" max="260" width="12.109375" customWidth="1"/>
    <col min="261" max="261" width="12" customWidth="1"/>
    <col min="262" max="262" width="12.6640625" customWidth="1"/>
    <col min="263" max="264" width="14.44140625" customWidth="1"/>
    <col min="265" max="265" width="11.5546875" customWidth="1"/>
    <col min="266" max="266" width="11.88671875" customWidth="1"/>
    <col min="267" max="267" width="10.6640625" customWidth="1"/>
    <col min="268" max="268" width="10.5546875" customWidth="1"/>
    <col min="514" max="514" width="37" customWidth="1"/>
    <col min="515" max="515" width="14.33203125" customWidth="1"/>
    <col min="516" max="516" width="12.109375" customWidth="1"/>
    <col min="517" max="517" width="12" customWidth="1"/>
    <col min="518" max="518" width="12.6640625" customWidth="1"/>
    <col min="519" max="520" width="14.44140625" customWidth="1"/>
    <col min="521" max="521" width="11.5546875" customWidth="1"/>
    <col min="522" max="522" width="11.88671875" customWidth="1"/>
    <col min="523" max="523" width="10.6640625" customWidth="1"/>
    <col min="524" max="524" width="10.5546875" customWidth="1"/>
    <col min="770" max="770" width="37" customWidth="1"/>
    <col min="771" max="771" width="14.33203125" customWidth="1"/>
    <col min="772" max="772" width="12.109375" customWidth="1"/>
    <col min="773" max="773" width="12" customWidth="1"/>
    <col min="774" max="774" width="12.6640625" customWidth="1"/>
    <col min="775" max="776" width="14.44140625" customWidth="1"/>
    <col min="777" max="777" width="11.5546875" customWidth="1"/>
    <col min="778" max="778" width="11.88671875" customWidth="1"/>
    <col min="779" max="779" width="10.6640625" customWidth="1"/>
    <col min="780" max="780" width="10.5546875" customWidth="1"/>
    <col min="1026" max="1026" width="37" customWidth="1"/>
    <col min="1027" max="1027" width="14.33203125" customWidth="1"/>
    <col min="1028" max="1028" width="12.109375" customWidth="1"/>
    <col min="1029" max="1029" width="12" customWidth="1"/>
    <col min="1030" max="1030" width="12.6640625" customWidth="1"/>
    <col min="1031" max="1032" width="14.44140625" customWidth="1"/>
    <col min="1033" max="1033" width="11.5546875" customWidth="1"/>
    <col min="1034" max="1034" width="11.88671875" customWidth="1"/>
    <col min="1035" max="1035" width="10.6640625" customWidth="1"/>
    <col min="1036" max="1036" width="10.5546875" customWidth="1"/>
    <col min="1282" max="1282" width="37" customWidth="1"/>
    <col min="1283" max="1283" width="14.33203125" customWidth="1"/>
    <col min="1284" max="1284" width="12.109375" customWidth="1"/>
    <col min="1285" max="1285" width="12" customWidth="1"/>
    <col min="1286" max="1286" width="12.6640625" customWidth="1"/>
    <col min="1287" max="1288" width="14.44140625" customWidth="1"/>
    <col min="1289" max="1289" width="11.5546875" customWidth="1"/>
    <col min="1290" max="1290" width="11.88671875" customWidth="1"/>
    <col min="1291" max="1291" width="10.6640625" customWidth="1"/>
    <col min="1292" max="1292" width="10.5546875" customWidth="1"/>
    <col min="1538" max="1538" width="37" customWidth="1"/>
    <col min="1539" max="1539" width="14.33203125" customWidth="1"/>
    <col min="1540" max="1540" width="12.109375" customWidth="1"/>
    <col min="1541" max="1541" width="12" customWidth="1"/>
    <col min="1542" max="1542" width="12.6640625" customWidth="1"/>
    <col min="1543" max="1544" width="14.44140625" customWidth="1"/>
    <col min="1545" max="1545" width="11.5546875" customWidth="1"/>
    <col min="1546" max="1546" width="11.88671875" customWidth="1"/>
    <col min="1547" max="1547" width="10.6640625" customWidth="1"/>
    <col min="1548" max="1548" width="10.5546875" customWidth="1"/>
    <col min="1794" max="1794" width="37" customWidth="1"/>
    <col min="1795" max="1795" width="14.33203125" customWidth="1"/>
    <col min="1796" max="1796" width="12.109375" customWidth="1"/>
    <col min="1797" max="1797" width="12" customWidth="1"/>
    <col min="1798" max="1798" width="12.6640625" customWidth="1"/>
    <col min="1799" max="1800" width="14.44140625" customWidth="1"/>
    <col min="1801" max="1801" width="11.5546875" customWidth="1"/>
    <col min="1802" max="1802" width="11.88671875" customWidth="1"/>
    <col min="1803" max="1803" width="10.6640625" customWidth="1"/>
    <col min="1804" max="1804" width="10.5546875" customWidth="1"/>
    <col min="2050" max="2050" width="37" customWidth="1"/>
    <col min="2051" max="2051" width="14.33203125" customWidth="1"/>
    <col min="2052" max="2052" width="12.109375" customWidth="1"/>
    <col min="2053" max="2053" width="12" customWidth="1"/>
    <col min="2054" max="2054" width="12.6640625" customWidth="1"/>
    <col min="2055" max="2056" width="14.44140625" customWidth="1"/>
    <col min="2057" max="2057" width="11.5546875" customWidth="1"/>
    <col min="2058" max="2058" width="11.88671875" customWidth="1"/>
    <col min="2059" max="2059" width="10.6640625" customWidth="1"/>
    <col min="2060" max="2060" width="10.5546875" customWidth="1"/>
    <col min="2306" max="2306" width="37" customWidth="1"/>
    <col min="2307" max="2307" width="14.33203125" customWidth="1"/>
    <col min="2308" max="2308" width="12.109375" customWidth="1"/>
    <col min="2309" max="2309" width="12" customWidth="1"/>
    <col min="2310" max="2310" width="12.6640625" customWidth="1"/>
    <col min="2311" max="2312" width="14.44140625" customWidth="1"/>
    <col min="2313" max="2313" width="11.5546875" customWidth="1"/>
    <col min="2314" max="2314" width="11.88671875" customWidth="1"/>
    <col min="2315" max="2315" width="10.6640625" customWidth="1"/>
    <col min="2316" max="2316" width="10.5546875" customWidth="1"/>
    <col min="2562" max="2562" width="37" customWidth="1"/>
    <col min="2563" max="2563" width="14.33203125" customWidth="1"/>
    <col min="2564" max="2564" width="12.109375" customWidth="1"/>
    <col min="2565" max="2565" width="12" customWidth="1"/>
    <col min="2566" max="2566" width="12.6640625" customWidth="1"/>
    <col min="2567" max="2568" width="14.44140625" customWidth="1"/>
    <col min="2569" max="2569" width="11.5546875" customWidth="1"/>
    <col min="2570" max="2570" width="11.88671875" customWidth="1"/>
    <col min="2571" max="2571" width="10.6640625" customWidth="1"/>
    <col min="2572" max="2572" width="10.5546875" customWidth="1"/>
    <col min="2818" max="2818" width="37" customWidth="1"/>
    <col min="2819" max="2819" width="14.33203125" customWidth="1"/>
    <col min="2820" max="2820" width="12.109375" customWidth="1"/>
    <col min="2821" max="2821" width="12" customWidth="1"/>
    <col min="2822" max="2822" width="12.6640625" customWidth="1"/>
    <col min="2823" max="2824" width="14.44140625" customWidth="1"/>
    <col min="2825" max="2825" width="11.5546875" customWidth="1"/>
    <col min="2826" max="2826" width="11.88671875" customWidth="1"/>
    <col min="2827" max="2827" width="10.6640625" customWidth="1"/>
    <col min="2828" max="2828" width="10.5546875" customWidth="1"/>
    <col min="3074" max="3074" width="37" customWidth="1"/>
    <col min="3075" max="3075" width="14.33203125" customWidth="1"/>
    <col min="3076" max="3076" width="12.109375" customWidth="1"/>
    <col min="3077" max="3077" width="12" customWidth="1"/>
    <col min="3078" max="3078" width="12.6640625" customWidth="1"/>
    <col min="3079" max="3080" width="14.44140625" customWidth="1"/>
    <col min="3081" max="3081" width="11.5546875" customWidth="1"/>
    <col min="3082" max="3082" width="11.88671875" customWidth="1"/>
    <col min="3083" max="3083" width="10.6640625" customWidth="1"/>
    <col min="3084" max="3084" width="10.5546875" customWidth="1"/>
    <col min="3330" max="3330" width="37" customWidth="1"/>
    <col min="3331" max="3331" width="14.33203125" customWidth="1"/>
    <col min="3332" max="3332" width="12.109375" customWidth="1"/>
    <col min="3333" max="3333" width="12" customWidth="1"/>
    <col min="3334" max="3334" width="12.6640625" customWidth="1"/>
    <col min="3335" max="3336" width="14.44140625" customWidth="1"/>
    <col min="3337" max="3337" width="11.5546875" customWidth="1"/>
    <col min="3338" max="3338" width="11.88671875" customWidth="1"/>
    <col min="3339" max="3339" width="10.6640625" customWidth="1"/>
    <col min="3340" max="3340" width="10.5546875" customWidth="1"/>
    <col min="3586" max="3586" width="37" customWidth="1"/>
    <col min="3587" max="3587" width="14.33203125" customWidth="1"/>
    <col min="3588" max="3588" width="12.109375" customWidth="1"/>
    <col min="3589" max="3589" width="12" customWidth="1"/>
    <col min="3590" max="3590" width="12.6640625" customWidth="1"/>
    <col min="3591" max="3592" width="14.44140625" customWidth="1"/>
    <col min="3593" max="3593" width="11.5546875" customWidth="1"/>
    <col min="3594" max="3594" width="11.88671875" customWidth="1"/>
    <col min="3595" max="3595" width="10.6640625" customWidth="1"/>
    <col min="3596" max="3596" width="10.5546875" customWidth="1"/>
    <col min="3842" max="3842" width="37" customWidth="1"/>
    <col min="3843" max="3843" width="14.33203125" customWidth="1"/>
    <col min="3844" max="3844" width="12.109375" customWidth="1"/>
    <col min="3845" max="3845" width="12" customWidth="1"/>
    <col min="3846" max="3846" width="12.6640625" customWidth="1"/>
    <col min="3847" max="3848" width="14.44140625" customWidth="1"/>
    <col min="3849" max="3849" width="11.5546875" customWidth="1"/>
    <col min="3850" max="3850" width="11.88671875" customWidth="1"/>
    <col min="3851" max="3851" width="10.6640625" customWidth="1"/>
    <col min="3852" max="3852" width="10.5546875" customWidth="1"/>
    <col min="4098" max="4098" width="37" customWidth="1"/>
    <col min="4099" max="4099" width="14.33203125" customWidth="1"/>
    <col min="4100" max="4100" width="12.109375" customWidth="1"/>
    <col min="4101" max="4101" width="12" customWidth="1"/>
    <col min="4102" max="4102" width="12.6640625" customWidth="1"/>
    <col min="4103" max="4104" width="14.44140625" customWidth="1"/>
    <col min="4105" max="4105" width="11.5546875" customWidth="1"/>
    <col min="4106" max="4106" width="11.88671875" customWidth="1"/>
    <col min="4107" max="4107" width="10.6640625" customWidth="1"/>
    <col min="4108" max="4108" width="10.5546875" customWidth="1"/>
    <col min="4354" max="4354" width="37" customWidth="1"/>
    <col min="4355" max="4355" width="14.33203125" customWidth="1"/>
    <col min="4356" max="4356" width="12.109375" customWidth="1"/>
    <col min="4357" max="4357" width="12" customWidth="1"/>
    <col min="4358" max="4358" width="12.6640625" customWidth="1"/>
    <col min="4359" max="4360" width="14.44140625" customWidth="1"/>
    <col min="4361" max="4361" width="11.5546875" customWidth="1"/>
    <col min="4362" max="4362" width="11.88671875" customWidth="1"/>
    <col min="4363" max="4363" width="10.6640625" customWidth="1"/>
    <col min="4364" max="4364" width="10.5546875" customWidth="1"/>
    <col min="4610" max="4610" width="37" customWidth="1"/>
    <col min="4611" max="4611" width="14.33203125" customWidth="1"/>
    <col min="4612" max="4612" width="12.109375" customWidth="1"/>
    <col min="4613" max="4613" width="12" customWidth="1"/>
    <col min="4614" max="4614" width="12.6640625" customWidth="1"/>
    <col min="4615" max="4616" width="14.44140625" customWidth="1"/>
    <col min="4617" max="4617" width="11.5546875" customWidth="1"/>
    <col min="4618" max="4618" width="11.88671875" customWidth="1"/>
    <col min="4619" max="4619" width="10.6640625" customWidth="1"/>
    <col min="4620" max="4620" width="10.5546875" customWidth="1"/>
    <col min="4866" max="4866" width="37" customWidth="1"/>
    <col min="4867" max="4867" width="14.33203125" customWidth="1"/>
    <col min="4868" max="4868" width="12.109375" customWidth="1"/>
    <col min="4869" max="4869" width="12" customWidth="1"/>
    <col min="4870" max="4870" width="12.6640625" customWidth="1"/>
    <col min="4871" max="4872" width="14.44140625" customWidth="1"/>
    <col min="4873" max="4873" width="11.5546875" customWidth="1"/>
    <col min="4874" max="4874" width="11.88671875" customWidth="1"/>
    <col min="4875" max="4875" width="10.6640625" customWidth="1"/>
    <col min="4876" max="4876" width="10.5546875" customWidth="1"/>
    <col min="5122" max="5122" width="37" customWidth="1"/>
    <col min="5123" max="5123" width="14.33203125" customWidth="1"/>
    <col min="5124" max="5124" width="12.109375" customWidth="1"/>
    <col min="5125" max="5125" width="12" customWidth="1"/>
    <col min="5126" max="5126" width="12.6640625" customWidth="1"/>
    <col min="5127" max="5128" width="14.44140625" customWidth="1"/>
    <col min="5129" max="5129" width="11.5546875" customWidth="1"/>
    <col min="5130" max="5130" width="11.88671875" customWidth="1"/>
    <col min="5131" max="5131" width="10.6640625" customWidth="1"/>
    <col min="5132" max="5132" width="10.5546875" customWidth="1"/>
    <col min="5378" max="5378" width="37" customWidth="1"/>
    <col min="5379" max="5379" width="14.33203125" customWidth="1"/>
    <col min="5380" max="5380" width="12.109375" customWidth="1"/>
    <col min="5381" max="5381" width="12" customWidth="1"/>
    <col min="5382" max="5382" width="12.6640625" customWidth="1"/>
    <col min="5383" max="5384" width="14.44140625" customWidth="1"/>
    <col min="5385" max="5385" width="11.5546875" customWidth="1"/>
    <col min="5386" max="5386" width="11.88671875" customWidth="1"/>
    <col min="5387" max="5387" width="10.6640625" customWidth="1"/>
    <col min="5388" max="5388" width="10.5546875" customWidth="1"/>
    <col min="5634" max="5634" width="37" customWidth="1"/>
    <col min="5635" max="5635" width="14.33203125" customWidth="1"/>
    <col min="5636" max="5636" width="12.109375" customWidth="1"/>
    <col min="5637" max="5637" width="12" customWidth="1"/>
    <col min="5638" max="5638" width="12.6640625" customWidth="1"/>
    <col min="5639" max="5640" width="14.44140625" customWidth="1"/>
    <col min="5641" max="5641" width="11.5546875" customWidth="1"/>
    <col min="5642" max="5642" width="11.88671875" customWidth="1"/>
    <col min="5643" max="5643" width="10.6640625" customWidth="1"/>
    <col min="5644" max="5644" width="10.5546875" customWidth="1"/>
    <col min="5890" max="5890" width="37" customWidth="1"/>
    <col min="5891" max="5891" width="14.33203125" customWidth="1"/>
    <col min="5892" max="5892" width="12.109375" customWidth="1"/>
    <col min="5893" max="5893" width="12" customWidth="1"/>
    <col min="5894" max="5894" width="12.6640625" customWidth="1"/>
    <col min="5895" max="5896" width="14.44140625" customWidth="1"/>
    <col min="5897" max="5897" width="11.5546875" customWidth="1"/>
    <col min="5898" max="5898" width="11.88671875" customWidth="1"/>
    <col min="5899" max="5899" width="10.6640625" customWidth="1"/>
    <col min="5900" max="5900" width="10.5546875" customWidth="1"/>
    <col min="6146" max="6146" width="37" customWidth="1"/>
    <col min="6147" max="6147" width="14.33203125" customWidth="1"/>
    <col min="6148" max="6148" width="12.109375" customWidth="1"/>
    <col min="6149" max="6149" width="12" customWidth="1"/>
    <col min="6150" max="6150" width="12.6640625" customWidth="1"/>
    <col min="6151" max="6152" width="14.44140625" customWidth="1"/>
    <col min="6153" max="6153" width="11.5546875" customWidth="1"/>
    <col min="6154" max="6154" width="11.88671875" customWidth="1"/>
    <col min="6155" max="6155" width="10.6640625" customWidth="1"/>
    <col min="6156" max="6156" width="10.5546875" customWidth="1"/>
    <col min="6402" max="6402" width="37" customWidth="1"/>
    <col min="6403" max="6403" width="14.33203125" customWidth="1"/>
    <col min="6404" max="6404" width="12.109375" customWidth="1"/>
    <col min="6405" max="6405" width="12" customWidth="1"/>
    <col min="6406" max="6406" width="12.6640625" customWidth="1"/>
    <col min="6407" max="6408" width="14.44140625" customWidth="1"/>
    <col min="6409" max="6409" width="11.5546875" customWidth="1"/>
    <col min="6410" max="6410" width="11.88671875" customWidth="1"/>
    <col min="6411" max="6411" width="10.6640625" customWidth="1"/>
    <col min="6412" max="6412" width="10.5546875" customWidth="1"/>
    <col min="6658" max="6658" width="37" customWidth="1"/>
    <col min="6659" max="6659" width="14.33203125" customWidth="1"/>
    <col min="6660" max="6660" width="12.109375" customWidth="1"/>
    <col min="6661" max="6661" width="12" customWidth="1"/>
    <col min="6662" max="6662" width="12.6640625" customWidth="1"/>
    <col min="6663" max="6664" width="14.44140625" customWidth="1"/>
    <col min="6665" max="6665" width="11.5546875" customWidth="1"/>
    <col min="6666" max="6666" width="11.88671875" customWidth="1"/>
    <col min="6667" max="6667" width="10.6640625" customWidth="1"/>
    <col min="6668" max="6668" width="10.5546875" customWidth="1"/>
    <col min="6914" max="6914" width="37" customWidth="1"/>
    <col min="6915" max="6915" width="14.33203125" customWidth="1"/>
    <col min="6916" max="6916" width="12.109375" customWidth="1"/>
    <col min="6917" max="6917" width="12" customWidth="1"/>
    <col min="6918" max="6918" width="12.6640625" customWidth="1"/>
    <col min="6919" max="6920" width="14.44140625" customWidth="1"/>
    <col min="6921" max="6921" width="11.5546875" customWidth="1"/>
    <col min="6922" max="6922" width="11.88671875" customWidth="1"/>
    <col min="6923" max="6923" width="10.6640625" customWidth="1"/>
    <col min="6924" max="6924" width="10.5546875" customWidth="1"/>
    <col min="7170" max="7170" width="37" customWidth="1"/>
    <col min="7171" max="7171" width="14.33203125" customWidth="1"/>
    <col min="7172" max="7172" width="12.109375" customWidth="1"/>
    <col min="7173" max="7173" width="12" customWidth="1"/>
    <col min="7174" max="7174" width="12.6640625" customWidth="1"/>
    <col min="7175" max="7176" width="14.44140625" customWidth="1"/>
    <col min="7177" max="7177" width="11.5546875" customWidth="1"/>
    <col min="7178" max="7178" width="11.88671875" customWidth="1"/>
    <col min="7179" max="7179" width="10.6640625" customWidth="1"/>
    <col min="7180" max="7180" width="10.5546875" customWidth="1"/>
    <col min="7426" max="7426" width="37" customWidth="1"/>
    <col min="7427" max="7427" width="14.33203125" customWidth="1"/>
    <col min="7428" max="7428" width="12.109375" customWidth="1"/>
    <col min="7429" max="7429" width="12" customWidth="1"/>
    <col min="7430" max="7430" width="12.6640625" customWidth="1"/>
    <col min="7431" max="7432" width="14.44140625" customWidth="1"/>
    <col min="7433" max="7433" width="11.5546875" customWidth="1"/>
    <col min="7434" max="7434" width="11.88671875" customWidth="1"/>
    <col min="7435" max="7435" width="10.6640625" customWidth="1"/>
    <col min="7436" max="7436" width="10.5546875" customWidth="1"/>
    <col min="7682" max="7682" width="37" customWidth="1"/>
    <col min="7683" max="7683" width="14.33203125" customWidth="1"/>
    <col min="7684" max="7684" width="12.109375" customWidth="1"/>
    <col min="7685" max="7685" width="12" customWidth="1"/>
    <col min="7686" max="7686" width="12.6640625" customWidth="1"/>
    <col min="7687" max="7688" width="14.44140625" customWidth="1"/>
    <col min="7689" max="7689" width="11.5546875" customWidth="1"/>
    <col min="7690" max="7690" width="11.88671875" customWidth="1"/>
    <col min="7691" max="7691" width="10.6640625" customWidth="1"/>
    <col min="7692" max="7692" width="10.5546875" customWidth="1"/>
    <col min="7938" max="7938" width="37" customWidth="1"/>
    <col min="7939" max="7939" width="14.33203125" customWidth="1"/>
    <col min="7940" max="7940" width="12.109375" customWidth="1"/>
    <col min="7941" max="7941" width="12" customWidth="1"/>
    <col min="7942" max="7942" width="12.6640625" customWidth="1"/>
    <col min="7943" max="7944" width="14.44140625" customWidth="1"/>
    <col min="7945" max="7945" width="11.5546875" customWidth="1"/>
    <col min="7946" max="7946" width="11.88671875" customWidth="1"/>
    <col min="7947" max="7947" width="10.6640625" customWidth="1"/>
    <col min="7948" max="7948" width="10.5546875" customWidth="1"/>
    <col min="8194" max="8194" width="37" customWidth="1"/>
    <col min="8195" max="8195" width="14.33203125" customWidth="1"/>
    <col min="8196" max="8196" width="12.109375" customWidth="1"/>
    <col min="8197" max="8197" width="12" customWidth="1"/>
    <col min="8198" max="8198" width="12.6640625" customWidth="1"/>
    <col min="8199" max="8200" width="14.44140625" customWidth="1"/>
    <col min="8201" max="8201" width="11.5546875" customWidth="1"/>
    <col min="8202" max="8202" width="11.88671875" customWidth="1"/>
    <col min="8203" max="8203" width="10.6640625" customWidth="1"/>
    <col min="8204" max="8204" width="10.5546875" customWidth="1"/>
    <col min="8450" max="8450" width="37" customWidth="1"/>
    <col min="8451" max="8451" width="14.33203125" customWidth="1"/>
    <col min="8452" max="8452" width="12.109375" customWidth="1"/>
    <col min="8453" max="8453" width="12" customWidth="1"/>
    <col min="8454" max="8454" width="12.6640625" customWidth="1"/>
    <col min="8455" max="8456" width="14.44140625" customWidth="1"/>
    <col min="8457" max="8457" width="11.5546875" customWidth="1"/>
    <col min="8458" max="8458" width="11.88671875" customWidth="1"/>
    <col min="8459" max="8459" width="10.6640625" customWidth="1"/>
    <col min="8460" max="8460" width="10.5546875" customWidth="1"/>
    <col min="8706" max="8706" width="37" customWidth="1"/>
    <col min="8707" max="8707" width="14.33203125" customWidth="1"/>
    <col min="8708" max="8708" width="12.109375" customWidth="1"/>
    <col min="8709" max="8709" width="12" customWidth="1"/>
    <col min="8710" max="8710" width="12.6640625" customWidth="1"/>
    <col min="8711" max="8712" width="14.44140625" customWidth="1"/>
    <col min="8713" max="8713" width="11.5546875" customWidth="1"/>
    <col min="8714" max="8714" width="11.88671875" customWidth="1"/>
    <col min="8715" max="8715" width="10.6640625" customWidth="1"/>
    <col min="8716" max="8716" width="10.5546875" customWidth="1"/>
    <col min="8962" max="8962" width="37" customWidth="1"/>
    <col min="8963" max="8963" width="14.33203125" customWidth="1"/>
    <col min="8964" max="8964" width="12.109375" customWidth="1"/>
    <col min="8965" max="8965" width="12" customWidth="1"/>
    <col min="8966" max="8966" width="12.6640625" customWidth="1"/>
    <col min="8967" max="8968" width="14.44140625" customWidth="1"/>
    <col min="8969" max="8969" width="11.5546875" customWidth="1"/>
    <col min="8970" max="8970" width="11.88671875" customWidth="1"/>
    <col min="8971" max="8971" width="10.6640625" customWidth="1"/>
    <col min="8972" max="8972" width="10.5546875" customWidth="1"/>
    <col min="9218" max="9218" width="37" customWidth="1"/>
    <col min="9219" max="9219" width="14.33203125" customWidth="1"/>
    <col min="9220" max="9220" width="12.109375" customWidth="1"/>
    <col min="9221" max="9221" width="12" customWidth="1"/>
    <col min="9222" max="9222" width="12.6640625" customWidth="1"/>
    <col min="9223" max="9224" width="14.44140625" customWidth="1"/>
    <col min="9225" max="9225" width="11.5546875" customWidth="1"/>
    <col min="9226" max="9226" width="11.88671875" customWidth="1"/>
    <col min="9227" max="9227" width="10.6640625" customWidth="1"/>
    <col min="9228" max="9228" width="10.5546875" customWidth="1"/>
    <col min="9474" max="9474" width="37" customWidth="1"/>
    <col min="9475" max="9475" width="14.33203125" customWidth="1"/>
    <col min="9476" max="9476" width="12.109375" customWidth="1"/>
    <col min="9477" max="9477" width="12" customWidth="1"/>
    <col min="9478" max="9478" width="12.6640625" customWidth="1"/>
    <col min="9479" max="9480" width="14.44140625" customWidth="1"/>
    <col min="9481" max="9481" width="11.5546875" customWidth="1"/>
    <col min="9482" max="9482" width="11.88671875" customWidth="1"/>
    <col min="9483" max="9483" width="10.6640625" customWidth="1"/>
    <col min="9484" max="9484" width="10.5546875" customWidth="1"/>
    <col min="9730" max="9730" width="37" customWidth="1"/>
    <col min="9731" max="9731" width="14.33203125" customWidth="1"/>
    <col min="9732" max="9732" width="12.109375" customWidth="1"/>
    <col min="9733" max="9733" width="12" customWidth="1"/>
    <col min="9734" max="9734" width="12.6640625" customWidth="1"/>
    <col min="9735" max="9736" width="14.44140625" customWidth="1"/>
    <col min="9737" max="9737" width="11.5546875" customWidth="1"/>
    <col min="9738" max="9738" width="11.88671875" customWidth="1"/>
    <col min="9739" max="9739" width="10.6640625" customWidth="1"/>
    <col min="9740" max="9740" width="10.5546875" customWidth="1"/>
    <col min="9986" max="9986" width="37" customWidth="1"/>
    <col min="9987" max="9987" width="14.33203125" customWidth="1"/>
    <col min="9988" max="9988" width="12.109375" customWidth="1"/>
    <col min="9989" max="9989" width="12" customWidth="1"/>
    <col min="9990" max="9990" width="12.6640625" customWidth="1"/>
    <col min="9991" max="9992" width="14.44140625" customWidth="1"/>
    <col min="9993" max="9993" width="11.5546875" customWidth="1"/>
    <col min="9994" max="9994" width="11.88671875" customWidth="1"/>
    <col min="9995" max="9995" width="10.6640625" customWidth="1"/>
    <col min="9996" max="9996" width="10.5546875" customWidth="1"/>
    <col min="10242" max="10242" width="37" customWidth="1"/>
    <col min="10243" max="10243" width="14.33203125" customWidth="1"/>
    <col min="10244" max="10244" width="12.109375" customWidth="1"/>
    <col min="10245" max="10245" width="12" customWidth="1"/>
    <col min="10246" max="10246" width="12.6640625" customWidth="1"/>
    <col min="10247" max="10248" width="14.44140625" customWidth="1"/>
    <col min="10249" max="10249" width="11.5546875" customWidth="1"/>
    <col min="10250" max="10250" width="11.88671875" customWidth="1"/>
    <col min="10251" max="10251" width="10.6640625" customWidth="1"/>
    <col min="10252" max="10252" width="10.5546875" customWidth="1"/>
    <col min="10498" max="10498" width="37" customWidth="1"/>
    <col min="10499" max="10499" width="14.33203125" customWidth="1"/>
    <col min="10500" max="10500" width="12.109375" customWidth="1"/>
    <col min="10501" max="10501" width="12" customWidth="1"/>
    <col min="10502" max="10502" width="12.6640625" customWidth="1"/>
    <col min="10503" max="10504" width="14.44140625" customWidth="1"/>
    <col min="10505" max="10505" width="11.5546875" customWidth="1"/>
    <col min="10506" max="10506" width="11.88671875" customWidth="1"/>
    <col min="10507" max="10507" width="10.6640625" customWidth="1"/>
    <col min="10508" max="10508" width="10.5546875" customWidth="1"/>
    <col min="10754" max="10754" width="37" customWidth="1"/>
    <col min="10755" max="10755" width="14.33203125" customWidth="1"/>
    <col min="10756" max="10756" width="12.109375" customWidth="1"/>
    <col min="10757" max="10757" width="12" customWidth="1"/>
    <col min="10758" max="10758" width="12.6640625" customWidth="1"/>
    <col min="10759" max="10760" width="14.44140625" customWidth="1"/>
    <col min="10761" max="10761" width="11.5546875" customWidth="1"/>
    <col min="10762" max="10762" width="11.88671875" customWidth="1"/>
    <col min="10763" max="10763" width="10.6640625" customWidth="1"/>
    <col min="10764" max="10764" width="10.5546875" customWidth="1"/>
    <col min="11010" max="11010" width="37" customWidth="1"/>
    <col min="11011" max="11011" width="14.33203125" customWidth="1"/>
    <col min="11012" max="11012" width="12.109375" customWidth="1"/>
    <col min="11013" max="11013" width="12" customWidth="1"/>
    <col min="11014" max="11014" width="12.6640625" customWidth="1"/>
    <col min="11015" max="11016" width="14.44140625" customWidth="1"/>
    <col min="11017" max="11017" width="11.5546875" customWidth="1"/>
    <col min="11018" max="11018" width="11.88671875" customWidth="1"/>
    <col min="11019" max="11019" width="10.6640625" customWidth="1"/>
    <col min="11020" max="11020" width="10.5546875" customWidth="1"/>
    <col min="11266" max="11266" width="37" customWidth="1"/>
    <col min="11267" max="11267" width="14.33203125" customWidth="1"/>
    <col min="11268" max="11268" width="12.109375" customWidth="1"/>
    <col min="11269" max="11269" width="12" customWidth="1"/>
    <col min="11270" max="11270" width="12.6640625" customWidth="1"/>
    <col min="11271" max="11272" width="14.44140625" customWidth="1"/>
    <col min="11273" max="11273" width="11.5546875" customWidth="1"/>
    <col min="11274" max="11274" width="11.88671875" customWidth="1"/>
    <col min="11275" max="11275" width="10.6640625" customWidth="1"/>
    <col min="11276" max="11276" width="10.5546875" customWidth="1"/>
    <col min="11522" max="11522" width="37" customWidth="1"/>
    <col min="11523" max="11523" width="14.33203125" customWidth="1"/>
    <col min="11524" max="11524" width="12.109375" customWidth="1"/>
    <col min="11525" max="11525" width="12" customWidth="1"/>
    <col min="11526" max="11526" width="12.6640625" customWidth="1"/>
    <col min="11527" max="11528" width="14.44140625" customWidth="1"/>
    <col min="11529" max="11529" width="11.5546875" customWidth="1"/>
    <col min="11530" max="11530" width="11.88671875" customWidth="1"/>
    <col min="11531" max="11531" width="10.6640625" customWidth="1"/>
    <col min="11532" max="11532" width="10.5546875" customWidth="1"/>
    <col min="11778" max="11778" width="37" customWidth="1"/>
    <col min="11779" max="11779" width="14.33203125" customWidth="1"/>
    <col min="11780" max="11780" width="12.109375" customWidth="1"/>
    <col min="11781" max="11781" width="12" customWidth="1"/>
    <col min="11782" max="11782" width="12.6640625" customWidth="1"/>
    <col min="11783" max="11784" width="14.44140625" customWidth="1"/>
    <col min="11785" max="11785" width="11.5546875" customWidth="1"/>
    <col min="11786" max="11786" width="11.88671875" customWidth="1"/>
    <col min="11787" max="11787" width="10.6640625" customWidth="1"/>
    <col min="11788" max="11788" width="10.5546875" customWidth="1"/>
    <col min="12034" max="12034" width="37" customWidth="1"/>
    <col min="12035" max="12035" width="14.33203125" customWidth="1"/>
    <col min="12036" max="12036" width="12.109375" customWidth="1"/>
    <col min="12037" max="12037" width="12" customWidth="1"/>
    <col min="12038" max="12038" width="12.6640625" customWidth="1"/>
    <col min="12039" max="12040" width="14.44140625" customWidth="1"/>
    <col min="12041" max="12041" width="11.5546875" customWidth="1"/>
    <col min="12042" max="12042" width="11.88671875" customWidth="1"/>
    <col min="12043" max="12043" width="10.6640625" customWidth="1"/>
    <col min="12044" max="12044" width="10.5546875" customWidth="1"/>
    <col min="12290" max="12290" width="37" customWidth="1"/>
    <col min="12291" max="12291" width="14.33203125" customWidth="1"/>
    <col min="12292" max="12292" width="12.109375" customWidth="1"/>
    <col min="12293" max="12293" width="12" customWidth="1"/>
    <col min="12294" max="12294" width="12.6640625" customWidth="1"/>
    <col min="12295" max="12296" width="14.44140625" customWidth="1"/>
    <col min="12297" max="12297" width="11.5546875" customWidth="1"/>
    <col min="12298" max="12298" width="11.88671875" customWidth="1"/>
    <col min="12299" max="12299" width="10.6640625" customWidth="1"/>
    <col min="12300" max="12300" width="10.5546875" customWidth="1"/>
    <col min="12546" max="12546" width="37" customWidth="1"/>
    <col min="12547" max="12547" width="14.33203125" customWidth="1"/>
    <col min="12548" max="12548" width="12.109375" customWidth="1"/>
    <col min="12549" max="12549" width="12" customWidth="1"/>
    <col min="12550" max="12550" width="12.6640625" customWidth="1"/>
    <col min="12551" max="12552" width="14.44140625" customWidth="1"/>
    <col min="12553" max="12553" width="11.5546875" customWidth="1"/>
    <col min="12554" max="12554" width="11.88671875" customWidth="1"/>
    <col min="12555" max="12555" width="10.6640625" customWidth="1"/>
    <col min="12556" max="12556" width="10.5546875" customWidth="1"/>
    <col min="12802" max="12802" width="37" customWidth="1"/>
    <col min="12803" max="12803" width="14.33203125" customWidth="1"/>
    <col min="12804" max="12804" width="12.109375" customWidth="1"/>
    <col min="12805" max="12805" width="12" customWidth="1"/>
    <col min="12806" max="12806" width="12.6640625" customWidth="1"/>
    <col min="12807" max="12808" width="14.44140625" customWidth="1"/>
    <col min="12809" max="12809" width="11.5546875" customWidth="1"/>
    <col min="12810" max="12810" width="11.88671875" customWidth="1"/>
    <col min="12811" max="12811" width="10.6640625" customWidth="1"/>
    <col min="12812" max="12812" width="10.5546875" customWidth="1"/>
    <col min="13058" max="13058" width="37" customWidth="1"/>
    <col min="13059" max="13059" width="14.33203125" customWidth="1"/>
    <col min="13060" max="13060" width="12.109375" customWidth="1"/>
    <col min="13061" max="13061" width="12" customWidth="1"/>
    <col min="13062" max="13062" width="12.6640625" customWidth="1"/>
    <col min="13063" max="13064" width="14.44140625" customWidth="1"/>
    <col min="13065" max="13065" width="11.5546875" customWidth="1"/>
    <col min="13066" max="13066" width="11.88671875" customWidth="1"/>
    <col min="13067" max="13067" width="10.6640625" customWidth="1"/>
    <col min="13068" max="13068" width="10.5546875" customWidth="1"/>
    <col min="13314" max="13314" width="37" customWidth="1"/>
    <col min="13315" max="13315" width="14.33203125" customWidth="1"/>
    <col min="13316" max="13316" width="12.109375" customWidth="1"/>
    <col min="13317" max="13317" width="12" customWidth="1"/>
    <col min="13318" max="13318" width="12.6640625" customWidth="1"/>
    <col min="13319" max="13320" width="14.44140625" customWidth="1"/>
    <col min="13321" max="13321" width="11.5546875" customWidth="1"/>
    <col min="13322" max="13322" width="11.88671875" customWidth="1"/>
    <col min="13323" max="13323" width="10.6640625" customWidth="1"/>
    <col min="13324" max="13324" width="10.5546875" customWidth="1"/>
    <col min="13570" max="13570" width="37" customWidth="1"/>
    <col min="13571" max="13571" width="14.33203125" customWidth="1"/>
    <col min="13572" max="13572" width="12.109375" customWidth="1"/>
    <col min="13573" max="13573" width="12" customWidth="1"/>
    <col min="13574" max="13574" width="12.6640625" customWidth="1"/>
    <col min="13575" max="13576" width="14.44140625" customWidth="1"/>
    <col min="13577" max="13577" width="11.5546875" customWidth="1"/>
    <col min="13578" max="13578" width="11.88671875" customWidth="1"/>
    <col min="13579" max="13579" width="10.6640625" customWidth="1"/>
    <col min="13580" max="13580" width="10.5546875" customWidth="1"/>
    <col min="13826" max="13826" width="37" customWidth="1"/>
    <col min="13827" max="13827" width="14.33203125" customWidth="1"/>
    <col min="13828" max="13828" width="12.109375" customWidth="1"/>
    <col min="13829" max="13829" width="12" customWidth="1"/>
    <col min="13830" max="13830" width="12.6640625" customWidth="1"/>
    <col min="13831" max="13832" width="14.44140625" customWidth="1"/>
    <col min="13833" max="13833" width="11.5546875" customWidth="1"/>
    <col min="13834" max="13834" width="11.88671875" customWidth="1"/>
    <col min="13835" max="13835" width="10.6640625" customWidth="1"/>
    <col min="13836" max="13836" width="10.5546875" customWidth="1"/>
    <col min="14082" max="14082" width="37" customWidth="1"/>
    <col min="14083" max="14083" width="14.33203125" customWidth="1"/>
    <col min="14084" max="14084" width="12.109375" customWidth="1"/>
    <col min="14085" max="14085" width="12" customWidth="1"/>
    <col min="14086" max="14086" width="12.6640625" customWidth="1"/>
    <col min="14087" max="14088" width="14.44140625" customWidth="1"/>
    <col min="14089" max="14089" width="11.5546875" customWidth="1"/>
    <col min="14090" max="14090" width="11.88671875" customWidth="1"/>
    <col min="14091" max="14091" width="10.6640625" customWidth="1"/>
    <col min="14092" max="14092" width="10.5546875" customWidth="1"/>
    <col min="14338" max="14338" width="37" customWidth="1"/>
    <col min="14339" max="14339" width="14.33203125" customWidth="1"/>
    <col min="14340" max="14340" width="12.109375" customWidth="1"/>
    <col min="14341" max="14341" width="12" customWidth="1"/>
    <col min="14342" max="14342" width="12.6640625" customWidth="1"/>
    <col min="14343" max="14344" width="14.44140625" customWidth="1"/>
    <col min="14345" max="14345" width="11.5546875" customWidth="1"/>
    <col min="14346" max="14346" width="11.88671875" customWidth="1"/>
    <col min="14347" max="14347" width="10.6640625" customWidth="1"/>
    <col min="14348" max="14348" width="10.5546875" customWidth="1"/>
    <col min="14594" max="14594" width="37" customWidth="1"/>
    <col min="14595" max="14595" width="14.33203125" customWidth="1"/>
    <col min="14596" max="14596" width="12.109375" customWidth="1"/>
    <col min="14597" max="14597" width="12" customWidth="1"/>
    <col min="14598" max="14598" width="12.6640625" customWidth="1"/>
    <col min="14599" max="14600" width="14.44140625" customWidth="1"/>
    <col min="14601" max="14601" width="11.5546875" customWidth="1"/>
    <col min="14602" max="14602" width="11.88671875" customWidth="1"/>
    <col min="14603" max="14603" width="10.6640625" customWidth="1"/>
    <col min="14604" max="14604" width="10.5546875" customWidth="1"/>
    <col min="14850" max="14850" width="37" customWidth="1"/>
    <col min="14851" max="14851" width="14.33203125" customWidth="1"/>
    <col min="14852" max="14852" width="12.109375" customWidth="1"/>
    <col min="14853" max="14853" width="12" customWidth="1"/>
    <col min="14854" max="14854" width="12.6640625" customWidth="1"/>
    <col min="14855" max="14856" width="14.44140625" customWidth="1"/>
    <col min="14857" max="14857" width="11.5546875" customWidth="1"/>
    <col min="14858" max="14858" width="11.88671875" customWidth="1"/>
    <col min="14859" max="14859" width="10.6640625" customWidth="1"/>
    <col min="14860" max="14860" width="10.5546875" customWidth="1"/>
    <col min="15106" max="15106" width="37" customWidth="1"/>
    <col min="15107" max="15107" width="14.33203125" customWidth="1"/>
    <col min="15108" max="15108" width="12.109375" customWidth="1"/>
    <col min="15109" max="15109" width="12" customWidth="1"/>
    <col min="15110" max="15110" width="12.6640625" customWidth="1"/>
    <col min="15111" max="15112" width="14.44140625" customWidth="1"/>
    <col min="15113" max="15113" width="11.5546875" customWidth="1"/>
    <col min="15114" max="15114" width="11.88671875" customWidth="1"/>
    <col min="15115" max="15115" width="10.6640625" customWidth="1"/>
    <col min="15116" max="15116" width="10.5546875" customWidth="1"/>
    <col min="15362" max="15362" width="37" customWidth="1"/>
    <col min="15363" max="15363" width="14.33203125" customWidth="1"/>
    <col min="15364" max="15364" width="12.109375" customWidth="1"/>
    <col min="15365" max="15365" width="12" customWidth="1"/>
    <col min="15366" max="15366" width="12.6640625" customWidth="1"/>
    <col min="15367" max="15368" width="14.44140625" customWidth="1"/>
    <col min="15369" max="15369" width="11.5546875" customWidth="1"/>
    <col min="15370" max="15370" width="11.88671875" customWidth="1"/>
    <col min="15371" max="15371" width="10.6640625" customWidth="1"/>
    <col min="15372" max="15372" width="10.5546875" customWidth="1"/>
    <col min="15618" max="15618" width="37" customWidth="1"/>
    <col min="15619" max="15619" width="14.33203125" customWidth="1"/>
    <col min="15620" max="15620" width="12.109375" customWidth="1"/>
    <col min="15621" max="15621" width="12" customWidth="1"/>
    <col min="15622" max="15622" width="12.6640625" customWidth="1"/>
    <col min="15623" max="15624" width="14.44140625" customWidth="1"/>
    <col min="15625" max="15625" width="11.5546875" customWidth="1"/>
    <col min="15626" max="15626" width="11.88671875" customWidth="1"/>
    <col min="15627" max="15627" width="10.6640625" customWidth="1"/>
    <col min="15628" max="15628" width="10.5546875" customWidth="1"/>
    <col min="15874" max="15874" width="37" customWidth="1"/>
    <col min="15875" max="15875" width="14.33203125" customWidth="1"/>
    <col min="15876" max="15876" width="12.109375" customWidth="1"/>
    <col min="15877" max="15877" width="12" customWidth="1"/>
    <col min="15878" max="15878" width="12.6640625" customWidth="1"/>
    <col min="15879" max="15880" width="14.44140625" customWidth="1"/>
    <col min="15881" max="15881" width="11.5546875" customWidth="1"/>
    <col min="15882" max="15882" width="11.88671875" customWidth="1"/>
    <col min="15883" max="15883" width="10.6640625" customWidth="1"/>
    <col min="15884" max="15884" width="10.5546875" customWidth="1"/>
    <col min="16130" max="16130" width="37" customWidth="1"/>
    <col min="16131" max="16131" width="14.33203125" customWidth="1"/>
    <col min="16132" max="16132" width="12.109375" customWidth="1"/>
    <col min="16133" max="16133" width="12" customWidth="1"/>
    <col min="16134" max="16134" width="12.6640625" customWidth="1"/>
    <col min="16135" max="16136" width="14.44140625" customWidth="1"/>
    <col min="16137" max="16137" width="11.5546875" customWidth="1"/>
    <col min="16138" max="16138" width="11.88671875" customWidth="1"/>
    <col min="16139" max="16139" width="10.6640625" customWidth="1"/>
    <col min="16140" max="16140" width="10.5546875" customWidth="1"/>
  </cols>
  <sheetData>
    <row r="1" spans="1:12">
      <c r="A1" s="746"/>
      <c r="B1" s="746"/>
      <c r="C1" s="746"/>
      <c r="L1" t="s">
        <v>374</v>
      </c>
    </row>
    <row r="2" spans="1:12" s="172" customFormat="1">
      <c r="A2" s="21"/>
      <c r="B2" s="21"/>
      <c r="C2" s="21"/>
    </row>
    <row r="3" spans="1:12" s="172" customFormat="1">
      <c r="B3" s="890" t="s">
        <v>550</v>
      </c>
      <c r="C3" s="890"/>
      <c r="D3" s="890"/>
      <c r="E3" s="890"/>
      <c r="F3" s="890"/>
      <c r="G3" s="890"/>
      <c r="H3" s="701"/>
      <c r="I3" s="701"/>
      <c r="J3" s="701"/>
      <c r="K3" s="701"/>
      <c r="L3" s="701"/>
    </row>
    <row r="4" spans="1:12" s="172" customFormat="1">
      <c r="B4" s="475"/>
      <c r="D4" s="475"/>
      <c r="E4" s="475"/>
      <c r="F4" s="476">
        <v>41455</v>
      </c>
      <c r="G4" s="475"/>
    </row>
    <row r="5" spans="1:12" s="172" customFormat="1" ht="15" customHeight="1">
      <c r="B5" s="475"/>
      <c r="C5" s="475"/>
      <c r="D5" s="475"/>
      <c r="E5" s="475"/>
      <c r="F5" s="475"/>
      <c r="G5" s="475"/>
    </row>
    <row r="6" spans="1:12" s="172" customFormat="1" ht="15" customHeight="1">
      <c r="B6" s="477" t="s">
        <v>472</v>
      </c>
      <c r="C6" s="875" t="s">
        <v>552</v>
      </c>
      <c r="D6" s="721"/>
      <c r="E6" s="875" t="s">
        <v>553</v>
      </c>
      <c r="F6" s="721"/>
      <c r="G6" s="875" t="s">
        <v>554</v>
      </c>
      <c r="H6" s="721"/>
      <c r="I6" s="879" t="s">
        <v>473</v>
      </c>
      <c r="J6" s="880"/>
      <c r="K6" s="880"/>
      <c r="L6" s="881"/>
    </row>
    <row r="7" spans="1:12" s="172" customFormat="1" ht="15" customHeight="1">
      <c r="B7" s="478"/>
      <c r="C7" s="876"/>
      <c r="D7" s="877"/>
      <c r="E7" s="876"/>
      <c r="F7" s="877"/>
      <c r="G7" s="876"/>
      <c r="H7" s="877"/>
      <c r="I7" s="875" t="s">
        <v>555</v>
      </c>
      <c r="J7" s="720"/>
      <c r="K7" s="875" t="s">
        <v>556</v>
      </c>
      <c r="L7" s="721"/>
    </row>
    <row r="8" spans="1:12" s="172" customFormat="1" ht="15" customHeight="1">
      <c r="B8" s="478"/>
      <c r="C8" s="878"/>
      <c r="D8" s="724"/>
      <c r="E8" s="878"/>
      <c r="F8" s="724"/>
      <c r="G8" s="878"/>
      <c r="H8" s="724"/>
      <c r="I8" s="878"/>
      <c r="J8" s="723"/>
      <c r="K8" s="878"/>
      <c r="L8" s="724"/>
    </row>
    <row r="9" spans="1:12" s="172" customFormat="1" ht="15" customHeight="1">
      <c r="B9" s="479"/>
      <c r="C9" s="480">
        <v>41275</v>
      </c>
      <c r="D9" s="480">
        <v>41455</v>
      </c>
      <c r="E9" s="481">
        <v>41275</v>
      </c>
      <c r="F9" s="481">
        <v>41455</v>
      </c>
      <c r="G9" s="481">
        <v>41275</v>
      </c>
      <c r="H9" s="481">
        <v>41455</v>
      </c>
      <c r="I9" s="481">
        <v>41275</v>
      </c>
      <c r="J9" s="481">
        <v>41455</v>
      </c>
      <c r="K9" s="481">
        <v>41275</v>
      </c>
      <c r="L9" s="481">
        <v>41455</v>
      </c>
    </row>
    <row r="10" spans="1:12" s="172" customFormat="1" ht="15" customHeight="1">
      <c r="B10" s="482"/>
      <c r="C10" s="483"/>
      <c r="D10" s="483"/>
      <c r="E10" s="483"/>
      <c r="F10" s="483"/>
      <c r="G10" s="483"/>
      <c r="H10" s="483"/>
      <c r="I10" s="483"/>
      <c r="J10" s="483"/>
      <c r="K10" s="483"/>
      <c r="L10" s="483"/>
    </row>
    <row r="11" spans="1:12" s="172" customFormat="1" ht="15" customHeight="1">
      <c r="B11" s="483" t="s">
        <v>527</v>
      </c>
      <c r="C11" s="483">
        <v>64</v>
      </c>
      <c r="D11" s="483">
        <v>64</v>
      </c>
      <c r="E11" s="483">
        <v>66</v>
      </c>
      <c r="F11" s="483">
        <v>62</v>
      </c>
      <c r="G11" s="483">
        <v>62</v>
      </c>
      <c r="H11" s="483"/>
      <c r="I11" s="483">
        <v>62</v>
      </c>
      <c r="J11" s="483">
        <v>60</v>
      </c>
      <c r="K11" s="483">
        <v>2</v>
      </c>
      <c r="L11" s="483">
        <v>3</v>
      </c>
    </row>
    <row r="12" spans="1:12" s="172" customFormat="1" ht="15" customHeight="1">
      <c r="B12" s="483" t="s">
        <v>474</v>
      </c>
      <c r="C12" s="483">
        <v>35</v>
      </c>
      <c r="D12" s="483">
        <f>35+5</f>
        <v>40</v>
      </c>
      <c r="E12" s="483">
        <v>35</v>
      </c>
      <c r="F12" s="483">
        <v>34</v>
      </c>
      <c r="G12" s="483">
        <v>34</v>
      </c>
      <c r="H12" s="483">
        <v>34</v>
      </c>
      <c r="I12" s="483">
        <v>34</v>
      </c>
      <c r="J12" s="483">
        <f>11+22</f>
        <v>33</v>
      </c>
      <c r="K12" s="483">
        <v>1</v>
      </c>
      <c r="L12" s="483">
        <v>1</v>
      </c>
    </row>
    <row r="13" spans="1:12" s="172" customFormat="1" ht="15" customHeight="1">
      <c r="B13" s="483" t="s">
        <v>475</v>
      </c>
      <c r="C13" s="483">
        <v>139</v>
      </c>
      <c r="D13" s="483">
        <f>139+4</f>
        <v>143</v>
      </c>
      <c r="E13" s="483">
        <v>146</v>
      </c>
      <c r="F13" s="483">
        <v>148</v>
      </c>
      <c r="G13" s="483">
        <v>139</v>
      </c>
      <c r="H13" s="483">
        <v>141</v>
      </c>
      <c r="I13" s="483">
        <v>138</v>
      </c>
      <c r="J13" s="483">
        <f>58+82</f>
        <v>140</v>
      </c>
      <c r="K13" s="483">
        <v>1</v>
      </c>
      <c r="L13" s="483">
        <v>1</v>
      </c>
    </row>
    <row r="14" spans="1:12" s="172" customFormat="1" ht="15" customHeight="1">
      <c r="B14" s="483" t="s">
        <v>476</v>
      </c>
      <c r="C14" s="483">
        <v>162</v>
      </c>
      <c r="D14" s="483">
        <f>162+1</f>
        <v>163</v>
      </c>
      <c r="E14" s="483">
        <v>165</v>
      </c>
      <c r="F14" s="483">
        <f>179-20</f>
        <v>159</v>
      </c>
      <c r="G14" s="483">
        <v>158</v>
      </c>
      <c r="H14" s="483">
        <f>177-20</f>
        <v>157</v>
      </c>
      <c r="I14" s="483">
        <v>141</v>
      </c>
      <c r="J14" s="483">
        <f>107+33-2</f>
        <v>138</v>
      </c>
      <c r="K14" s="483">
        <v>17</v>
      </c>
      <c r="L14" s="483">
        <f>31+5+1-18</f>
        <v>19</v>
      </c>
    </row>
    <row r="15" spans="1:12" s="172" customFormat="1" ht="15" customHeight="1">
      <c r="B15" s="483" t="s">
        <v>477</v>
      </c>
      <c r="C15" s="483">
        <v>23</v>
      </c>
      <c r="D15" s="483">
        <v>23</v>
      </c>
      <c r="E15" s="483">
        <v>25</v>
      </c>
      <c r="F15" s="483">
        <v>23</v>
      </c>
      <c r="G15" s="483">
        <v>25</v>
      </c>
      <c r="H15" s="483">
        <v>23</v>
      </c>
      <c r="I15" s="483">
        <v>21</v>
      </c>
      <c r="J15" s="483">
        <f>7+12</f>
        <v>19</v>
      </c>
      <c r="K15" s="483">
        <v>4</v>
      </c>
      <c r="L15" s="483">
        <f>1+3</f>
        <v>4</v>
      </c>
    </row>
    <row r="16" spans="1:12" s="172" customFormat="1" ht="15" customHeight="1">
      <c r="B16" s="483" t="s">
        <v>478</v>
      </c>
      <c r="C16" s="483">
        <v>4</v>
      </c>
      <c r="D16" s="483">
        <v>4</v>
      </c>
      <c r="E16" s="483">
        <v>4</v>
      </c>
      <c r="F16" s="483">
        <v>4</v>
      </c>
      <c r="G16" s="483">
        <v>4</v>
      </c>
      <c r="H16" s="483">
        <v>5</v>
      </c>
      <c r="I16" s="483">
        <v>4</v>
      </c>
      <c r="J16" s="483">
        <v>4</v>
      </c>
      <c r="K16" s="483">
        <v>0</v>
      </c>
      <c r="L16" s="483">
        <v>1</v>
      </c>
    </row>
    <row r="17" spans="2:12" s="172" customFormat="1" ht="14.25" customHeight="1">
      <c r="B17" s="483" t="s">
        <v>471</v>
      </c>
      <c r="C17" s="483">
        <v>37</v>
      </c>
      <c r="D17" s="483">
        <v>37</v>
      </c>
      <c r="E17" s="483">
        <v>37</v>
      </c>
      <c r="F17" s="483">
        <v>37</v>
      </c>
      <c r="G17" s="483">
        <v>37</v>
      </c>
      <c r="H17" s="483">
        <v>37</v>
      </c>
      <c r="I17" s="483">
        <v>33</v>
      </c>
      <c r="J17" s="483">
        <v>33</v>
      </c>
      <c r="K17" s="483">
        <v>4</v>
      </c>
      <c r="L17" s="483">
        <v>4</v>
      </c>
    </row>
    <row r="18" spans="2:12" s="172" customFormat="1">
      <c r="B18" s="483" t="s">
        <v>224</v>
      </c>
      <c r="C18" s="483">
        <f t="shared" ref="C18:J18" si="0">SUM(C11:C17)</f>
        <v>464</v>
      </c>
      <c r="D18" s="483">
        <f t="shared" si="0"/>
        <v>474</v>
      </c>
      <c r="E18" s="483">
        <f t="shared" si="0"/>
        <v>478</v>
      </c>
      <c r="F18" s="483">
        <f t="shared" si="0"/>
        <v>467</v>
      </c>
      <c r="G18" s="483">
        <f t="shared" si="0"/>
        <v>459</v>
      </c>
      <c r="H18" s="483">
        <f t="shared" si="0"/>
        <v>397</v>
      </c>
      <c r="I18" s="483">
        <f t="shared" si="0"/>
        <v>433</v>
      </c>
      <c r="J18" s="483">
        <f t="shared" si="0"/>
        <v>427</v>
      </c>
      <c r="K18" s="483">
        <f>SUM(K11:K17)</f>
        <v>29</v>
      </c>
      <c r="L18" s="483">
        <f>SUM(L11:L17)</f>
        <v>33</v>
      </c>
    </row>
    <row r="19" spans="2:12" s="172" customFormat="1">
      <c r="B19" s="483"/>
      <c r="C19" s="483"/>
      <c r="D19" s="483"/>
      <c r="E19" s="483"/>
      <c r="F19" s="483"/>
      <c r="G19" s="483"/>
      <c r="H19" s="483"/>
      <c r="I19" s="483"/>
      <c r="J19" s="483"/>
      <c r="K19" s="483"/>
      <c r="L19" s="483"/>
    </row>
    <row r="20" spans="2:12">
      <c r="B20" s="484"/>
      <c r="C20" s="484"/>
      <c r="D20" s="484"/>
      <c r="E20" s="484"/>
      <c r="F20" s="484"/>
      <c r="G20" s="484"/>
    </row>
    <row r="21" spans="2:12">
      <c r="B21" s="485" t="s">
        <v>479</v>
      </c>
      <c r="C21" s="484"/>
      <c r="D21" s="484"/>
      <c r="E21" s="484"/>
      <c r="F21" s="484"/>
      <c r="G21" s="484"/>
    </row>
    <row r="22" spans="2:12">
      <c r="B22" s="485" t="s">
        <v>480</v>
      </c>
      <c r="C22" s="484"/>
      <c r="D22" s="484"/>
      <c r="E22" s="484"/>
      <c r="F22" s="484"/>
      <c r="G22" s="484"/>
    </row>
    <row r="23" spans="2:12">
      <c r="B23" s="485" t="s">
        <v>481</v>
      </c>
      <c r="C23" s="484"/>
      <c r="D23" s="484"/>
      <c r="E23" s="484"/>
      <c r="F23" s="484"/>
      <c r="G23" s="484"/>
    </row>
    <row r="24" spans="2:12">
      <c r="B24" s="485" t="s">
        <v>482</v>
      </c>
      <c r="C24" s="484"/>
      <c r="D24" s="484"/>
      <c r="E24" s="484"/>
      <c r="F24" s="484"/>
      <c r="G24" s="484"/>
    </row>
    <row r="25" spans="2:12">
      <c r="B25" s="485" t="s">
        <v>483</v>
      </c>
      <c r="C25" s="484"/>
      <c r="D25" s="484"/>
      <c r="E25" s="484"/>
      <c r="F25" s="484"/>
      <c r="G25" s="484"/>
    </row>
    <row r="26" spans="2:12">
      <c r="B26" s="485" t="s">
        <v>484</v>
      </c>
      <c r="C26" s="484"/>
      <c r="D26" s="484"/>
      <c r="E26" s="484"/>
      <c r="F26" s="484"/>
      <c r="G26" s="484"/>
    </row>
    <row r="27" spans="2:12">
      <c r="B27" s="485" t="s">
        <v>485</v>
      </c>
      <c r="C27" s="484"/>
      <c r="D27" s="484"/>
      <c r="E27" s="484"/>
      <c r="F27" s="484"/>
      <c r="G27" s="484"/>
    </row>
    <row r="28" spans="2:12">
      <c r="B28" s="484"/>
      <c r="C28" s="484"/>
      <c r="D28" s="484"/>
      <c r="E28" s="484"/>
      <c r="F28" s="484"/>
      <c r="G28" s="484"/>
    </row>
    <row r="29" spans="2:12">
      <c r="B29" s="484"/>
      <c r="C29" s="484"/>
      <c r="D29" s="484"/>
      <c r="E29" s="484"/>
      <c r="F29" s="484"/>
      <c r="G29" t="s">
        <v>486</v>
      </c>
    </row>
    <row r="30" spans="2:12">
      <c r="B30" s="484"/>
      <c r="C30" s="484"/>
      <c r="D30" s="484"/>
      <c r="E30" s="484"/>
      <c r="F30" s="484"/>
      <c r="G30" s="484"/>
    </row>
    <row r="31" spans="2:12">
      <c r="B31" s="21"/>
      <c r="C31" s="273"/>
      <c r="D31" s="21"/>
      <c r="E31" s="21"/>
    </row>
    <row r="32" spans="2:12">
      <c r="B32" s="775" t="s">
        <v>551</v>
      </c>
      <c r="C32" s="775"/>
      <c r="D32" s="775"/>
      <c r="E32" s="775"/>
      <c r="F32" s="701"/>
      <c r="G32" s="701"/>
      <c r="H32" s="701"/>
    </row>
    <row r="33" spans="2:8">
      <c r="B33" s="274"/>
      <c r="D33" s="262">
        <v>41455</v>
      </c>
      <c r="E33" s="274"/>
    </row>
    <row r="34" spans="2:8">
      <c r="B34" s="21"/>
      <c r="C34" s="21"/>
      <c r="D34" s="21"/>
      <c r="E34" s="21"/>
    </row>
    <row r="35" spans="2:8" ht="12.75" customHeight="1">
      <c r="B35" s="882" t="s">
        <v>281</v>
      </c>
      <c r="C35" s="770" t="s">
        <v>280</v>
      </c>
      <c r="D35" s="771"/>
      <c r="E35" s="771"/>
      <c r="F35" s="884"/>
      <c r="G35" s="885" t="s">
        <v>553</v>
      </c>
      <c r="H35" s="886"/>
    </row>
    <row r="36" spans="2:8">
      <c r="B36" s="883"/>
      <c r="C36" s="95" t="s">
        <v>279</v>
      </c>
      <c r="D36" s="95" t="s">
        <v>278</v>
      </c>
      <c r="E36" s="770" t="s">
        <v>277</v>
      </c>
      <c r="F36" s="889"/>
      <c r="G36" s="887"/>
      <c r="H36" s="888"/>
    </row>
    <row r="37" spans="2:8" ht="15" customHeight="1">
      <c r="B37" s="275"/>
      <c r="C37" s="486">
        <v>41455</v>
      </c>
      <c r="D37" s="486">
        <v>41455</v>
      </c>
      <c r="E37" s="486">
        <v>41275</v>
      </c>
      <c r="F37" s="486">
        <v>41455</v>
      </c>
      <c r="G37" s="486">
        <v>41275</v>
      </c>
      <c r="H37" s="486">
        <v>41455</v>
      </c>
    </row>
    <row r="38" spans="2:8" ht="15" customHeight="1">
      <c r="B38" s="483" t="s">
        <v>476</v>
      </c>
      <c r="C38" s="483">
        <v>0</v>
      </c>
      <c r="D38" s="483">
        <v>18</v>
      </c>
      <c r="E38" s="483">
        <v>9</v>
      </c>
      <c r="F38" s="483">
        <v>2</v>
      </c>
      <c r="G38" s="279">
        <v>9</v>
      </c>
      <c r="H38" s="279">
        <v>20</v>
      </c>
    </row>
    <row r="39" spans="2:8" ht="15.75" customHeight="1">
      <c r="B39" s="75" t="s">
        <v>43</v>
      </c>
      <c r="C39" s="487">
        <f>SUM(C38:C38)</f>
        <v>0</v>
      </c>
      <c r="D39" s="487">
        <f>SUM(D38:D38)</f>
        <v>18</v>
      </c>
      <c r="E39" s="487">
        <f>SUM(E38:E38)</f>
        <v>9</v>
      </c>
      <c r="F39" s="487">
        <f>SUM(F38:F38)</f>
        <v>2</v>
      </c>
      <c r="G39" s="8">
        <f>SUM(G38)</f>
        <v>9</v>
      </c>
      <c r="H39" s="8">
        <f>SUM(H38)</f>
        <v>20</v>
      </c>
    </row>
  </sheetData>
  <mergeCells count="13">
    <mergeCell ref="B35:B36"/>
    <mergeCell ref="C35:F35"/>
    <mergeCell ref="G35:H36"/>
    <mergeCell ref="E36:F36"/>
    <mergeCell ref="B3:L3"/>
    <mergeCell ref="B32:H32"/>
    <mergeCell ref="A1:C1"/>
    <mergeCell ref="C6:D8"/>
    <mergeCell ref="E6:F8"/>
    <mergeCell ref="G6:H8"/>
    <mergeCell ref="I6:L6"/>
    <mergeCell ref="I7:J8"/>
    <mergeCell ref="K7:L8"/>
  </mergeCells>
  <pageMargins left="0.74803149606299213" right="0.74803149606299213" top="0.59055118110236227" bottom="0.74803149606299213" header="0.31496062992125984" footer="0.51181102362204722"/>
  <pageSetup paperSize="9" scale="73" orientation="landscape" r:id="rId1"/>
  <headerFooter alignWithMargins="0">
    <oddHeader>&amp;LVeresegyház Város Önkormányzat</oddHeader>
    <oddFooter>&amp;LVeresegyház, 2013. Szeptember 03.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2:G90"/>
  <sheetViews>
    <sheetView topLeftCell="A27" zoomScaleSheetLayoutView="110" workbookViewId="0">
      <selection activeCell="I51" sqref="I51"/>
    </sheetView>
  </sheetViews>
  <sheetFormatPr defaultRowHeight="13.2"/>
  <cols>
    <col min="1" max="1" width="6.33203125" customWidth="1"/>
    <col min="4" max="4" width="20" customWidth="1"/>
    <col min="5" max="5" width="19.109375" customWidth="1"/>
    <col min="7" max="7" width="7.109375" customWidth="1"/>
  </cols>
  <sheetData>
    <row r="2" spans="1:7" ht="14.25" customHeight="1">
      <c r="A2" s="746" t="s">
        <v>375</v>
      </c>
      <c r="B2" s="746"/>
      <c r="C2" s="746"/>
      <c r="D2" s="746"/>
      <c r="E2" s="746"/>
      <c r="F2" s="746"/>
    </row>
    <row r="4" spans="1:7">
      <c r="A4" s="92"/>
      <c r="B4" s="1" t="s">
        <v>308</v>
      </c>
      <c r="C4" s="92"/>
      <c r="D4" s="92"/>
      <c r="E4" s="92"/>
      <c r="F4" s="92"/>
    </row>
    <row r="5" spans="1:7">
      <c r="A5" s="92"/>
      <c r="B5" s="1" t="s">
        <v>307</v>
      </c>
      <c r="C5" s="1"/>
      <c r="D5" s="1"/>
      <c r="E5" s="1"/>
      <c r="F5" s="1"/>
    </row>
    <row r="6" spans="1:7" ht="15.6">
      <c r="A6" s="92"/>
      <c r="B6" s="1"/>
      <c r="C6" s="1"/>
      <c r="D6" s="1"/>
      <c r="E6" s="1"/>
      <c r="F6" s="91"/>
    </row>
    <row r="7" spans="1:7" ht="15.6">
      <c r="A7" s="92"/>
      <c r="B7" s="1"/>
      <c r="C7" s="1"/>
      <c r="D7" s="1" t="s">
        <v>306</v>
      </c>
      <c r="E7" s="1"/>
      <c r="F7" s="91"/>
    </row>
    <row r="8" spans="1:7" ht="15.6">
      <c r="B8" s="91"/>
      <c r="C8" s="91"/>
      <c r="D8" s="91"/>
      <c r="E8" s="91"/>
      <c r="F8" s="91"/>
    </row>
    <row r="10" spans="1:7">
      <c r="A10" s="90" t="s">
        <v>305</v>
      </c>
      <c r="B10" s="90"/>
      <c r="C10" s="90"/>
      <c r="D10" s="90"/>
      <c r="E10" s="90"/>
      <c r="F10" s="90"/>
      <c r="G10" s="90"/>
    </row>
    <row r="11" spans="1:7">
      <c r="A11" s="90"/>
      <c r="B11" s="90"/>
      <c r="C11" s="90"/>
      <c r="D11" s="90"/>
      <c r="E11" s="90"/>
      <c r="F11" s="90"/>
      <c r="G11" s="90"/>
    </row>
    <row r="12" spans="1:7">
      <c r="A12" s="90"/>
      <c r="B12" s="90"/>
      <c r="C12" s="90"/>
      <c r="D12" s="90"/>
      <c r="E12" s="90"/>
      <c r="F12" s="90"/>
      <c r="G12" s="90"/>
    </row>
    <row r="13" spans="1:7">
      <c r="A13" s="90" t="s">
        <v>304</v>
      </c>
      <c r="B13" s="90"/>
      <c r="C13" s="90"/>
      <c r="D13" s="90"/>
      <c r="E13" s="90"/>
      <c r="F13" s="90"/>
      <c r="G13" s="90"/>
    </row>
    <row r="14" spans="1:7">
      <c r="A14" s="90" t="s">
        <v>303</v>
      </c>
      <c r="B14" s="90"/>
      <c r="C14" s="90"/>
      <c r="D14" s="90"/>
      <c r="E14" s="90"/>
      <c r="F14" s="90"/>
      <c r="G14" s="90"/>
    </row>
    <row r="15" spans="1:7">
      <c r="A15" s="76" t="s">
        <v>302</v>
      </c>
    </row>
    <row r="16" spans="1:7">
      <c r="A16" s="76"/>
    </row>
    <row r="18" spans="1:5">
      <c r="A18" s="898" t="s">
        <v>301</v>
      </c>
      <c r="B18" s="901"/>
      <c r="C18" s="902"/>
      <c r="D18" s="903"/>
      <c r="E18" s="89" t="s">
        <v>300</v>
      </c>
    </row>
    <row r="19" spans="1:5">
      <c r="A19" s="899"/>
      <c r="B19" s="895" t="s">
        <v>299</v>
      </c>
      <c r="C19" s="896"/>
      <c r="D19" s="897"/>
      <c r="E19" s="88" t="s">
        <v>298</v>
      </c>
    </row>
    <row r="20" spans="1:5">
      <c r="A20" s="900"/>
      <c r="B20" s="904"/>
      <c r="C20" s="905"/>
      <c r="D20" s="906"/>
      <c r="E20" s="88" t="s">
        <v>297</v>
      </c>
    </row>
    <row r="21" spans="1:5" ht="15" customHeight="1">
      <c r="A21" s="84">
        <v>1</v>
      </c>
      <c r="B21" s="83" t="s">
        <v>296</v>
      </c>
      <c r="C21" s="82"/>
      <c r="D21" s="81"/>
      <c r="E21" s="81"/>
    </row>
    <row r="22" spans="1:5" ht="15" customHeight="1">
      <c r="A22" s="87">
        <v>2</v>
      </c>
      <c r="B22" s="52" t="s">
        <v>295</v>
      </c>
      <c r="C22" s="29"/>
      <c r="D22" s="86"/>
      <c r="E22" s="86"/>
    </row>
    <row r="23" spans="1:5" ht="15" customHeight="1">
      <c r="A23" s="85"/>
      <c r="B23" s="80" t="s">
        <v>294</v>
      </c>
      <c r="C23" s="78"/>
      <c r="D23" s="77"/>
      <c r="E23" s="77"/>
    </row>
    <row r="24" spans="1:5" ht="15" customHeight="1">
      <c r="A24" s="87">
        <v>3</v>
      </c>
      <c r="B24" s="52" t="s">
        <v>293</v>
      </c>
      <c r="C24" s="29"/>
      <c r="D24" s="86"/>
      <c r="E24" s="86"/>
    </row>
    <row r="25" spans="1:5" ht="15" customHeight="1">
      <c r="A25" s="85"/>
      <c r="B25" s="892" t="s">
        <v>292</v>
      </c>
      <c r="C25" s="893"/>
      <c r="D25" s="894"/>
      <c r="E25" s="77"/>
    </row>
    <row r="26" spans="1:5" ht="15" customHeight="1">
      <c r="A26" s="85">
        <v>4</v>
      </c>
      <c r="B26" s="80" t="s">
        <v>291</v>
      </c>
      <c r="C26" s="78"/>
      <c r="D26" s="77"/>
      <c r="E26" s="77"/>
    </row>
    <row r="27" spans="1:5" ht="15" customHeight="1">
      <c r="A27" s="87">
        <v>5</v>
      </c>
      <c r="B27" s="52" t="s">
        <v>290</v>
      </c>
      <c r="C27" s="29"/>
      <c r="D27" s="86"/>
      <c r="E27" s="86"/>
    </row>
    <row r="28" spans="1:5" ht="15" customHeight="1">
      <c r="A28" s="85"/>
      <c r="B28" s="892" t="s">
        <v>289</v>
      </c>
      <c r="C28" s="893"/>
      <c r="D28" s="894"/>
      <c r="E28" s="77"/>
    </row>
    <row r="29" spans="1:5" ht="15" customHeight="1">
      <c r="A29" s="84">
        <v>6</v>
      </c>
      <c r="B29" s="83" t="s">
        <v>288</v>
      </c>
      <c r="C29" s="82"/>
      <c r="D29" s="81"/>
      <c r="E29" s="81"/>
    </row>
    <row r="30" spans="1:5" ht="15" customHeight="1">
      <c r="A30" s="84">
        <v>7</v>
      </c>
      <c r="B30" s="83" t="s">
        <v>287</v>
      </c>
      <c r="C30" s="82"/>
      <c r="D30" s="81"/>
      <c r="E30" s="81"/>
    </row>
    <row r="31" spans="1:5" ht="17.25" customHeight="1">
      <c r="A31" s="80"/>
      <c r="B31" s="79" t="s">
        <v>15</v>
      </c>
      <c r="C31" s="78"/>
      <c r="D31" s="77"/>
      <c r="E31" s="77"/>
    </row>
    <row r="33" spans="1:5">
      <c r="B33" s="76" t="s">
        <v>286</v>
      </c>
      <c r="C33" s="76"/>
      <c r="D33" s="76"/>
      <c r="E33" s="76"/>
    </row>
    <row r="34" spans="1:5">
      <c r="B34" s="76" t="s">
        <v>285</v>
      </c>
      <c r="C34" s="76"/>
      <c r="D34" s="76"/>
      <c r="E34" s="76"/>
    </row>
    <row r="35" spans="1:5">
      <c r="B35" s="76"/>
      <c r="C35" s="76"/>
      <c r="D35" s="76"/>
      <c r="E35" s="76"/>
    </row>
    <row r="37" spans="1:5">
      <c r="A37" s="891" t="s">
        <v>284</v>
      </c>
      <c r="B37" s="891"/>
      <c r="C37" s="891"/>
      <c r="D37" s="891"/>
    </row>
    <row r="40" spans="1:5">
      <c r="E40" t="s">
        <v>283</v>
      </c>
    </row>
    <row r="41" spans="1:5">
      <c r="E41" t="s">
        <v>282</v>
      </c>
    </row>
    <row r="90" ht="18" customHeight="1"/>
  </sheetData>
  <mergeCells count="8">
    <mergeCell ref="A2:F2"/>
    <mergeCell ref="A37:D37"/>
    <mergeCell ref="B25:D25"/>
    <mergeCell ref="B28:D28"/>
    <mergeCell ref="B19:D19"/>
    <mergeCell ref="A18:A20"/>
    <mergeCell ref="B18:D18"/>
    <mergeCell ref="B20:D20"/>
  </mergeCells>
  <printOptions horizontalCentered="1"/>
  <pageMargins left="0.23622047244094491" right="0.23622047244094491" top="0.31496062992125984" bottom="0.15748031496062992" header="0.15748031496062992" footer="0.19685039370078741"/>
  <pageSetup paperSize="9" scale="80" orientation="portrait" r:id="rId1"/>
  <headerFooter alignWithMargins="0">
    <oddHeader>&amp;LVeresegyház Város Önkormányzat</oddHeader>
    <oddFooter>&amp;LVeresegyház, 2013. Szeptember 03.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X90"/>
  <sheetViews>
    <sheetView view="pageLayout" topLeftCell="A4" workbookViewId="0">
      <selection activeCell="J26" sqref="J26:J27"/>
    </sheetView>
  </sheetViews>
  <sheetFormatPr defaultRowHeight="13.2"/>
  <cols>
    <col min="1" max="1" width="36.33203125" customWidth="1"/>
    <col min="2" max="4" width="12.109375" style="66" customWidth="1"/>
    <col min="5" max="5" width="13.5546875" style="66" customWidth="1"/>
    <col min="6" max="7" width="14.44140625" style="66" customWidth="1"/>
    <col min="8" max="8" width="12.5546875" style="66" customWidth="1"/>
    <col min="9" max="9" width="13.44140625" style="66" customWidth="1"/>
    <col min="10" max="10" width="16.44140625" style="66" customWidth="1"/>
    <col min="11" max="11" width="11.109375" bestFit="1" customWidth="1"/>
    <col min="259" max="259" width="36.33203125" customWidth="1"/>
    <col min="260" max="260" width="12.109375" customWidth="1"/>
    <col min="261" max="261" width="13.5546875" customWidth="1"/>
    <col min="262" max="263" width="14.44140625" customWidth="1"/>
    <col min="264" max="264" width="12.5546875" customWidth="1"/>
    <col min="265" max="265" width="13.44140625" customWidth="1"/>
    <col min="266" max="266" width="16.44140625" customWidth="1"/>
    <col min="267" max="267" width="11.109375" bestFit="1" customWidth="1"/>
    <col min="515" max="515" width="36.33203125" customWidth="1"/>
    <col min="516" max="516" width="12.109375" customWidth="1"/>
    <col min="517" max="517" width="13.5546875" customWidth="1"/>
    <col min="518" max="519" width="14.44140625" customWidth="1"/>
    <col min="520" max="520" width="12.5546875" customWidth="1"/>
    <col min="521" max="521" width="13.44140625" customWidth="1"/>
    <col min="522" max="522" width="16.44140625" customWidth="1"/>
    <col min="523" max="523" width="11.109375" bestFit="1" customWidth="1"/>
    <col min="771" max="771" width="36.33203125" customWidth="1"/>
    <col min="772" max="772" width="12.109375" customWidth="1"/>
    <col min="773" max="773" width="13.5546875" customWidth="1"/>
    <col min="774" max="775" width="14.44140625" customWidth="1"/>
    <col min="776" max="776" width="12.5546875" customWidth="1"/>
    <col min="777" max="777" width="13.44140625" customWidth="1"/>
    <col min="778" max="778" width="16.44140625" customWidth="1"/>
    <col min="779" max="779" width="11.109375" bestFit="1" customWidth="1"/>
    <col min="1027" max="1027" width="36.33203125" customWidth="1"/>
    <col min="1028" max="1028" width="12.109375" customWidth="1"/>
    <col min="1029" max="1029" width="13.5546875" customWidth="1"/>
    <col min="1030" max="1031" width="14.44140625" customWidth="1"/>
    <col min="1032" max="1032" width="12.5546875" customWidth="1"/>
    <col min="1033" max="1033" width="13.44140625" customWidth="1"/>
    <col min="1034" max="1034" width="16.44140625" customWidth="1"/>
    <col min="1035" max="1035" width="11.109375" bestFit="1" customWidth="1"/>
    <col min="1283" max="1283" width="36.33203125" customWidth="1"/>
    <col min="1284" max="1284" width="12.109375" customWidth="1"/>
    <col min="1285" max="1285" width="13.5546875" customWidth="1"/>
    <col min="1286" max="1287" width="14.44140625" customWidth="1"/>
    <col min="1288" max="1288" width="12.5546875" customWidth="1"/>
    <col min="1289" max="1289" width="13.44140625" customWidth="1"/>
    <col min="1290" max="1290" width="16.44140625" customWidth="1"/>
    <col min="1291" max="1291" width="11.109375" bestFit="1" customWidth="1"/>
    <col min="1539" max="1539" width="36.33203125" customWidth="1"/>
    <col min="1540" max="1540" width="12.109375" customWidth="1"/>
    <col min="1541" max="1541" width="13.5546875" customWidth="1"/>
    <col min="1542" max="1543" width="14.44140625" customWidth="1"/>
    <col min="1544" max="1544" width="12.5546875" customWidth="1"/>
    <col min="1545" max="1545" width="13.44140625" customWidth="1"/>
    <col min="1546" max="1546" width="16.44140625" customWidth="1"/>
    <col min="1547" max="1547" width="11.109375" bestFit="1" customWidth="1"/>
    <col min="1795" max="1795" width="36.33203125" customWidth="1"/>
    <col min="1796" max="1796" width="12.109375" customWidth="1"/>
    <col min="1797" max="1797" width="13.5546875" customWidth="1"/>
    <col min="1798" max="1799" width="14.44140625" customWidth="1"/>
    <col min="1800" max="1800" width="12.5546875" customWidth="1"/>
    <col min="1801" max="1801" width="13.44140625" customWidth="1"/>
    <col min="1802" max="1802" width="16.44140625" customWidth="1"/>
    <col min="1803" max="1803" width="11.109375" bestFit="1" customWidth="1"/>
    <col min="2051" max="2051" width="36.33203125" customWidth="1"/>
    <col min="2052" max="2052" width="12.109375" customWidth="1"/>
    <col min="2053" max="2053" width="13.5546875" customWidth="1"/>
    <col min="2054" max="2055" width="14.44140625" customWidth="1"/>
    <col min="2056" max="2056" width="12.5546875" customWidth="1"/>
    <col min="2057" max="2057" width="13.44140625" customWidth="1"/>
    <col min="2058" max="2058" width="16.44140625" customWidth="1"/>
    <col min="2059" max="2059" width="11.109375" bestFit="1" customWidth="1"/>
    <col min="2307" max="2307" width="36.33203125" customWidth="1"/>
    <col min="2308" max="2308" width="12.109375" customWidth="1"/>
    <col min="2309" max="2309" width="13.5546875" customWidth="1"/>
    <col min="2310" max="2311" width="14.44140625" customWidth="1"/>
    <col min="2312" max="2312" width="12.5546875" customWidth="1"/>
    <col min="2313" max="2313" width="13.44140625" customWidth="1"/>
    <col min="2314" max="2314" width="16.44140625" customWidth="1"/>
    <col min="2315" max="2315" width="11.109375" bestFit="1" customWidth="1"/>
    <col min="2563" max="2563" width="36.33203125" customWidth="1"/>
    <col min="2564" max="2564" width="12.109375" customWidth="1"/>
    <col min="2565" max="2565" width="13.5546875" customWidth="1"/>
    <col min="2566" max="2567" width="14.44140625" customWidth="1"/>
    <col min="2568" max="2568" width="12.5546875" customWidth="1"/>
    <col min="2569" max="2569" width="13.44140625" customWidth="1"/>
    <col min="2570" max="2570" width="16.44140625" customWidth="1"/>
    <col min="2571" max="2571" width="11.109375" bestFit="1" customWidth="1"/>
    <col min="2819" max="2819" width="36.33203125" customWidth="1"/>
    <col min="2820" max="2820" width="12.109375" customWidth="1"/>
    <col min="2821" max="2821" width="13.5546875" customWidth="1"/>
    <col min="2822" max="2823" width="14.44140625" customWidth="1"/>
    <col min="2824" max="2824" width="12.5546875" customWidth="1"/>
    <col min="2825" max="2825" width="13.44140625" customWidth="1"/>
    <col min="2826" max="2826" width="16.44140625" customWidth="1"/>
    <col min="2827" max="2827" width="11.109375" bestFit="1" customWidth="1"/>
    <col min="3075" max="3075" width="36.33203125" customWidth="1"/>
    <col min="3076" max="3076" width="12.109375" customWidth="1"/>
    <col min="3077" max="3077" width="13.5546875" customWidth="1"/>
    <col min="3078" max="3079" width="14.44140625" customWidth="1"/>
    <col min="3080" max="3080" width="12.5546875" customWidth="1"/>
    <col min="3081" max="3081" width="13.44140625" customWidth="1"/>
    <col min="3082" max="3082" width="16.44140625" customWidth="1"/>
    <col min="3083" max="3083" width="11.109375" bestFit="1" customWidth="1"/>
    <col min="3331" max="3331" width="36.33203125" customWidth="1"/>
    <col min="3332" max="3332" width="12.109375" customWidth="1"/>
    <col min="3333" max="3333" width="13.5546875" customWidth="1"/>
    <col min="3334" max="3335" width="14.44140625" customWidth="1"/>
    <col min="3336" max="3336" width="12.5546875" customWidth="1"/>
    <col min="3337" max="3337" width="13.44140625" customWidth="1"/>
    <col min="3338" max="3338" width="16.44140625" customWidth="1"/>
    <col min="3339" max="3339" width="11.109375" bestFit="1" customWidth="1"/>
    <col min="3587" max="3587" width="36.33203125" customWidth="1"/>
    <col min="3588" max="3588" width="12.109375" customWidth="1"/>
    <col min="3589" max="3589" width="13.5546875" customWidth="1"/>
    <col min="3590" max="3591" width="14.44140625" customWidth="1"/>
    <col min="3592" max="3592" width="12.5546875" customWidth="1"/>
    <col min="3593" max="3593" width="13.44140625" customWidth="1"/>
    <col min="3594" max="3594" width="16.44140625" customWidth="1"/>
    <col min="3595" max="3595" width="11.109375" bestFit="1" customWidth="1"/>
    <col min="3843" max="3843" width="36.33203125" customWidth="1"/>
    <col min="3844" max="3844" width="12.109375" customWidth="1"/>
    <col min="3845" max="3845" width="13.5546875" customWidth="1"/>
    <col min="3846" max="3847" width="14.44140625" customWidth="1"/>
    <col min="3848" max="3848" width="12.5546875" customWidth="1"/>
    <col min="3849" max="3849" width="13.44140625" customWidth="1"/>
    <col min="3850" max="3850" width="16.44140625" customWidth="1"/>
    <col min="3851" max="3851" width="11.109375" bestFit="1" customWidth="1"/>
    <col min="4099" max="4099" width="36.33203125" customWidth="1"/>
    <col min="4100" max="4100" width="12.109375" customWidth="1"/>
    <col min="4101" max="4101" width="13.5546875" customWidth="1"/>
    <col min="4102" max="4103" width="14.44140625" customWidth="1"/>
    <col min="4104" max="4104" width="12.5546875" customWidth="1"/>
    <col min="4105" max="4105" width="13.44140625" customWidth="1"/>
    <col min="4106" max="4106" width="16.44140625" customWidth="1"/>
    <col min="4107" max="4107" width="11.109375" bestFit="1" customWidth="1"/>
    <col min="4355" max="4355" width="36.33203125" customWidth="1"/>
    <col min="4356" max="4356" width="12.109375" customWidth="1"/>
    <col min="4357" max="4357" width="13.5546875" customWidth="1"/>
    <col min="4358" max="4359" width="14.44140625" customWidth="1"/>
    <col min="4360" max="4360" width="12.5546875" customWidth="1"/>
    <col min="4361" max="4361" width="13.44140625" customWidth="1"/>
    <col min="4362" max="4362" width="16.44140625" customWidth="1"/>
    <col min="4363" max="4363" width="11.109375" bestFit="1" customWidth="1"/>
    <col min="4611" max="4611" width="36.33203125" customWidth="1"/>
    <col min="4612" max="4612" width="12.109375" customWidth="1"/>
    <col min="4613" max="4613" width="13.5546875" customWidth="1"/>
    <col min="4614" max="4615" width="14.44140625" customWidth="1"/>
    <col min="4616" max="4616" width="12.5546875" customWidth="1"/>
    <col min="4617" max="4617" width="13.44140625" customWidth="1"/>
    <col min="4618" max="4618" width="16.44140625" customWidth="1"/>
    <col min="4619" max="4619" width="11.109375" bestFit="1" customWidth="1"/>
    <col min="4867" max="4867" width="36.33203125" customWidth="1"/>
    <col min="4868" max="4868" width="12.109375" customWidth="1"/>
    <col min="4869" max="4869" width="13.5546875" customWidth="1"/>
    <col min="4870" max="4871" width="14.44140625" customWidth="1"/>
    <col min="4872" max="4872" width="12.5546875" customWidth="1"/>
    <col min="4873" max="4873" width="13.44140625" customWidth="1"/>
    <col min="4874" max="4874" width="16.44140625" customWidth="1"/>
    <col min="4875" max="4875" width="11.109375" bestFit="1" customWidth="1"/>
    <col min="5123" max="5123" width="36.33203125" customWidth="1"/>
    <col min="5124" max="5124" width="12.109375" customWidth="1"/>
    <col min="5125" max="5125" width="13.5546875" customWidth="1"/>
    <col min="5126" max="5127" width="14.44140625" customWidth="1"/>
    <col min="5128" max="5128" width="12.5546875" customWidth="1"/>
    <col min="5129" max="5129" width="13.44140625" customWidth="1"/>
    <col min="5130" max="5130" width="16.44140625" customWidth="1"/>
    <col min="5131" max="5131" width="11.109375" bestFit="1" customWidth="1"/>
    <col min="5379" max="5379" width="36.33203125" customWidth="1"/>
    <col min="5380" max="5380" width="12.109375" customWidth="1"/>
    <col min="5381" max="5381" width="13.5546875" customWidth="1"/>
    <col min="5382" max="5383" width="14.44140625" customWidth="1"/>
    <col min="5384" max="5384" width="12.5546875" customWidth="1"/>
    <col min="5385" max="5385" width="13.44140625" customWidth="1"/>
    <col min="5386" max="5386" width="16.44140625" customWidth="1"/>
    <col min="5387" max="5387" width="11.109375" bestFit="1" customWidth="1"/>
    <col min="5635" max="5635" width="36.33203125" customWidth="1"/>
    <col min="5636" max="5636" width="12.109375" customWidth="1"/>
    <col min="5637" max="5637" width="13.5546875" customWidth="1"/>
    <col min="5638" max="5639" width="14.44140625" customWidth="1"/>
    <col min="5640" max="5640" width="12.5546875" customWidth="1"/>
    <col min="5641" max="5641" width="13.44140625" customWidth="1"/>
    <col min="5642" max="5642" width="16.44140625" customWidth="1"/>
    <col min="5643" max="5643" width="11.109375" bestFit="1" customWidth="1"/>
    <col min="5891" max="5891" width="36.33203125" customWidth="1"/>
    <col min="5892" max="5892" width="12.109375" customWidth="1"/>
    <col min="5893" max="5893" width="13.5546875" customWidth="1"/>
    <col min="5894" max="5895" width="14.44140625" customWidth="1"/>
    <col min="5896" max="5896" width="12.5546875" customWidth="1"/>
    <col min="5897" max="5897" width="13.44140625" customWidth="1"/>
    <col min="5898" max="5898" width="16.44140625" customWidth="1"/>
    <col min="5899" max="5899" width="11.109375" bestFit="1" customWidth="1"/>
    <col min="6147" max="6147" width="36.33203125" customWidth="1"/>
    <col min="6148" max="6148" width="12.109375" customWidth="1"/>
    <col min="6149" max="6149" width="13.5546875" customWidth="1"/>
    <col min="6150" max="6151" width="14.44140625" customWidth="1"/>
    <col min="6152" max="6152" width="12.5546875" customWidth="1"/>
    <col min="6153" max="6153" width="13.44140625" customWidth="1"/>
    <col min="6154" max="6154" width="16.44140625" customWidth="1"/>
    <col min="6155" max="6155" width="11.109375" bestFit="1" customWidth="1"/>
    <col min="6403" max="6403" width="36.33203125" customWidth="1"/>
    <col min="6404" max="6404" width="12.109375" customWidth="1"/>
    <col min="6405" max="6405" width="13.5546875" customWidth="1"/>
    <col min="6406" max="6407" width="14.44140625" customWidth="1"/>
    <col min="6408" max="6408" width="12.5546875" customWidth="1"/>
    <col min="6409" max="6409" width="13.44140625" customWidth="1"/>
    <col min="6410" max="6410" width="16.44140625" customWidth="1"/>
    <col min="6411" max="6411" width="11.109375" bestFit="1" customWidth="1"/>
    <col min="6659" max="6659" width="36.33203125" customWidth="1"/>
    <col min="6660" max="6660" width="12.109375" customWidth="1"/>
    <col min="6661" max="6661" width="13.5546875" customWidth="1"/>
    <col min="6662" max="6663" width="14.44140625" customWidth="1"/>
    <col min="6664" max="6664" width="12.5546875" customWidth="1"/>
    <col min="6665" max="6665" width="13.44140625" customWidth="1"/>
    <col min="6666" max="6666" width="16.44140625" customWidth="1"/>
    <col min="6667" max="6667" width="11.109375" bestFit="1" customWidth="1"/>
    <col min="6915" max="6915" width="36.33203125" customWidth="1"/>
    <col min="6916" max="6916" width="12.109375" customWidth="1"/>
    <col min="6917" max="6917" width="13.5546875" customWidth="1"/>
    <col min="6918" max="6919" width="14.44140625" customWidth="1"/>
    <col min="6920" max="6920" width="12.5546875" customWidth="1"/>
    <col min="6921" max="6921" width="13.44140625" customWidth="1"/>
    <col min="6922" max="6922" width="16.44140625" customWidth="1"/>
    <col min="6923" max="6923" width="11.109375" bestFit="1" customWidth="1"/>
    <col min="7171" max="7171" width="36.33203125" customWidth="1"/>
    <col min="7172" max="7172" width="12.109375" customWidth="1"/>
    <col min="7173" max="7173" width="13.5546875" customWidth="1"/>
    <col min="7174" max="7175" width="14.44140625" customWidth="1"/>
    <col min="7176" max="7176" width="12.5546875" customWidth="1"/>
    <col min="7177" max="7177" width="13.44140625" customWidth="1"/>
    <col min="7178" max="7178" width="16.44140625" customWidth="1"/>
    <col min="7179" max="7179" width="11.109375" bestFit="1" customWidth="1"/>
    <col min="7427" max="7427" width="36.33203125" customWidth="1"/>
    <col min="7428" max="7428" width="12.109375" customWidth="1"/>
    <col min="7429" max="7429" width="13.5546875" customWidth="1"/>
    <col min="7430" max="7431" width="14.44140625" customWidth="1"/>
    <col min="7432" max="7432" width="12.5546875" customWidth="1"/>
    <col min="7433" max="7433" width="13.44140625" customWidth="1"/>
    <col min="7434" max="7434" width="16.44140625" customWidth="1"/>
    <col min="7435" max="7435" width="11.109375" bestFit="1" customWidth="1"/>
    <col min="7683" max="7683" width="36.33203125" customWidth="1"/>
    <col min="7684" max="7684" width="12.109375" customWidth="1"/>
    <col min="7685" max="7685" width="13.5546875" customWidth="1"/>
    <col min="7686" max="7687" width="14.44140625" customWidth="1"/>
    <col min="7688" max="7688" width="12.5546875" customWidth="1"/>
    <col min="7689" max="7689" width="13.44140625" customWidth="1"/>
    <col min="7690" max="7690" width="16.44140625" customWidth="1"/>
    <col min="7691" max="7691" width="11.109375" bestFit="1" customWidth="1"/>
    <col min="7939" max="7939" width="36.33203125" customWidth="1"/>
    <col min="7940" max="7940" width="12.109375" customWidth="1"/>
    <col min="7941" max="7941" width="13.5546875" customWidth="1"/>
    <col min="7942" max="7943" width="14.44140625" customWidth="1"/>
    <col min="7944" max="7944" width="12.5546875" customWidth="1"/>
    <col min="7945" max="7945" width="13.44140625" customWidth="1"/>
    <col min="7946" max="7946" width="16.44140625" customWidth="1"/>
    <col min="7947" max="7947" width="11.109375" bestFit="1" customWidth="1"/>
    <col min="8195" max="8195" width="36.33203125" customWidth="1"/>
    <col min="8196" max="8196" width="12.109375" customWidth="1"/>
    <col min="8197" max="8197" width="13.5546875" customWidth="1"/>
    <col min="8198" max="8199" width="14.44140625" customWidth="1"/>
    <col min="8200" max="8200" width="12.5546875" customWidth="1"/>
    <col min="8201" max="8201" width="13.44140625" customWidth="1"/>
    <col min="8202" max="8202" width="16.44140625" customWidth="1"/>
    <col min="8203" max="8203" width="11.109375" bestFit="1" customWidth="1"/>
    <col min="8451" max="8451" width="36.33203125" customWidth="1"/>
    <col min="8452" max="8452" width="12.109375" customWidth="1"/>
    <col min="8453" max="8453" width="13.5546875" customWidth="1"/>
    <col min="8454" max="8455" width="14.44140625" customWidth="1"/>
    <col min="8456" max="8456" width="12.5546875" customWidth="1"/>
    <col min="8457" max="8457" width="13.44140625" customWidth="1"/>
    <col min="8458" max="8458" width="16.44140625" customWidth="1"/>
    <col min="8459" max="8459" width="11.109375" bestFit="1" customWidth="1"/>
    <col min="8707" max="8707" width="36.33203125" customWidth="1"/>
    <col min="8708" max="8708" width="12.109375" customWidth="1"/>
    <col min="8709" max="8709" width="13.5546875" customWidth="1"/>
    <col min="8710" max="8711" width="14.44140625" customWidth="1"/>
    <col min="8712" max="8712" width="12.5546875" customWidth="1"/>
    <col min="8713" max="8713" width="13.44140625" customWidth="1"/>
    <col min="8714" max="8714" width="16.44140625" customWidth="1"/>
    <col min="8715" max="8715" width="11.109375" bestFit="1" customWidth="1"/>
    <col min="8963" max="8963" width="36.33203125" customWidth="1"/>
    <col min="8964" max="8964" width="12.109375" customWidth="1"/>
    <col min="8965" max="8965" width="13.5546875" customWidth="1"/>
    <col min="8966" max="8967" width="14.44140625" customWidth="1"/>
    <col min="8968" max="8968" width="12.5546875" customWidth="1"/>
    <col min="8969" max="8969" width="13.44140625" customWidth="1"/>
    <col min="8970" max="8970" width="16.44140625" customWidth="1"/>
    <col min="8971" max="8971" width="11.109375" bestFit="1" customWidth="1"/>
    <col min="9219" max="9219" width="36.33203125" customWidth="1"/>
    <col min="9220" max="9220" width="12.109375" customWidth="1"/>
    <col min="9221" max="9221" width="13.5546875" customWidth="1"/>
    <col min="9222" max="9223" width="14.44140625" customWidth="1"/>
    <col min="9224" max="9224" width="12.5546875" customWidth="1"/>
    <col min="9225" max="9225" width="13.44140625" customWidth="1"/>
    <col min="9226" max="9226" width="16.44140625" customWidth="1"/>
    <col min="9227" max="9227" width="11.109375" bestFit="1" customWidth="1"/>
    <col min="9475" max="9475" width="36.33203125" customWidth="1"/>
    <col min="9476" max="9476" width="12.109375" customWidth="1"/>
    <col min="9477" max="9477" width="13.5546875" customWidth="1"/>
    <col min="9478" max="9479" width="14.44140625" customWidth="1"/>
    <col min="9480" max="9480" width="12.5546875" customWidth="1"/>
    <col min="9481" max="9481" width="13.44140625" customWidth="1"/>
    <col min="9482" max="9482" width="16.44140625" customWidth="1"/>
    <col min="9483" max="9483" width="11.109375" bestFit="1" customWidth="1"/>
    <col min="9731" max="9731" width="36.33203125" customWidth="1"/>
    <col min="9732" max="9732" width="12.109375" customWidth="1"/>
    <col min="9733" max="9733" width="13.5546875" customWidth="1"/>
    <col min="9734" max="9735" width="14.44140625" customWidth="1"/>
    <col min="9736" max="9736" width="12.5546875" customWidth="1"/>
    <col min="9737" max="9737" width="13.44140625" customWidth="1"/>
    <col min="9738" max="9738" width="16.44140625" customWidth="1"/>
    <col min="9739" max="9739" width="11.109375" bestFit="1" customWidth="1"/>
    <col min="9987" max="9987" width="36.33203125" customWidth="1"/>
    <col min="9988" max="9988" width="12.109375" customWidth="1"/>
    <col min="9989" max="9989" width="13.5546875" customWidth="1"/>
    <col min="9990" max="9991" width="14.44140625" customWidth="1"/>
    <col min="9992" max="9992" width="12.5546875" customWidth="1"/>
    <col min="9993" max="9993" width="13.44140625" customWidth="1"/>
    <col min="9994" max="9994" width="16.44140625" customWidth="1"/>
    <col min="9995" max="9995" width="11.109375" bestFit="1" customWidth="1"/>
    <col min="10243" max="10243" width="36.33203125" customWidth="1"/>
    <col min="10244" max="10244" width="12.109375" customWidth="1"/>
    <col min="10245" max="10245" width="13.5546875" customWidth="1"/>
    <col min="10246" max="10247" width="14.44140625" customWidth="1"/>
    <col min="10248" max="10248" width="12.5546875" customWidth="1"/>
    <col min="10249" max="10249" width="13.44140625" customWidth="1"/>
    <col min="10250" max="10250" width="16.44140625" customWidth="1"/>
    <col min="10251" max="10251" width="11.109375" bestFit="1" customWidth="1"/>
    <col min="10499" max="10499" width="36.33203125" customWidth="1"/>
    <col min="10500" max="10500" width="12.109375" customWidth="1"/>
    <col min="10501" max="10501" width="13.5546875" customWidth="1"/>
    <col min="10502" max="10503" width="14.44140625" customWidth="1"/>
    <col min="10504" max="10504" width="12.5546875" customWidth="1"/>
    <col min="10505" max="10505" width="13.44140625" customWidth="1"/>
    <col min="10506" max="10506" width="16.44140625" customWidth="1"/>
    <col min="10507" max="10507" width="11.109375" bestFit="1" customWidth="1"/>
    <col min="10755" max="10755" width="36.33203125" customWidth="1"/>
    <col min="10756" max="10756" width="12.109375" customWidth="1"/>
    <col min="10757" max="10757" width="13.5546875" customWidth="1"/>
    <col min="10758" max="10759" width="14.44140625" customWidth="1"/>
    <col min="10760" max="10760" width="12.5546875" customWidth="1"/>
    <col min="10761" max="10761" width="13.44140625" customWidth="1"/>
    <col min="10762" max="10762" width="16.44140625" customWidth="1"/>
    <col min="10763" max="10763" width="11.109375" bestFit="1" customWidth="1"/>
    <col min="11011" max="11011" width="36.33203125" customWidth="1"/>
    <col min="11012" max="11012" width="12.109375" customWidth="1"/>
    <col min="11013" max="11013" width="13.5546875" customWidth="1"/>
    <col min="11014" max="11015" width="14.44140625" customWidth="1"/>
    <col min="11016" max="11016" width="12.5546875" customWidth="1"/>
    <col min="11017" max="11017" width="13.44140625" customWidth="1"/>
    <col min="11018" max="11018" width="16.44140625" customWidth="1"/>
    <col min="11019" max="11019" width="11.109375" bestFit="1" customWidth="1"/>
    <col min="11267" max="11267" width="36.33203125" customWidth="1"/>
    <col min="11268" max="11268" width="12.109375" customWidth="1"/>
    <col min="11269" max="11269" width="13.5546875" customWidth="1"/>
    <col min="11270" max="11271" width="14.44140625" customWidth="1"/>
    <col min="11272" max="11272" width="12.5546875" customWidth="1"/>
    <col min="11273" max="11273" width="13.44140625" customWidth="1"/>
    <col min="11274" max="11274" width="16.44140625" customWidth="1"/>
    <col min="11275" max="11275" width="11.109375" bestFit="1" customWidth="1"/>
    <col min="11523" max="11523" width="36.33203125" customWidth="1"/>
    <col min="11524" max="11524" width="12.109375" customWidth="1"/>
    <col min="11525" max="11525" width="13.5546875" customWidth="1"/>
    <col min="11526" max="11527" width="14.44140625" customWidth="1"/>
    <col min="11528" max="11528" width="12.5546875" customWidth="1"/>
    <col min="11529" max="11529" width="13.44140625" customWidth="1"/>
    <col min="11530" max="11530" width="16.44140625" customWidth="1"/>
    <col min="11531" max="11531" width="11.109375" bestFit="1" customWidth="1"/>
    <col min="11779" max="11779" width="36.33203125" customWidth="1"/>
    <col min="11780" max="11780" width="12.109375" customWidth="1"/>
    <col min="11781" max="11781" width="13.5546875" customWidth="1"/>
    <col min="11782" max="11783" width="14.44140625" customWidth="1"/>
    <col min="11784" max="11784" width="12.5546875" customWidth="1"/>
    <col min="11785" max="11785" width="13.44140625" customWidth="1"/>
    <col min="11786" max="11786" width="16.44140625" customWidth="1"/>
    <col min="11787" max="11787" width="11.109375" bestFit="1" customWidth="1"/>
    <col min="12035" max="12035" width="36.33203125" customWidth="1"/>
    <col min="12036" max="12036" width="12.109375" customWidth="1"/>
    <col min="12037" max="12037" width="13.5546875" customWidth="1"/>
    <col min="12038" max="12039" width="14.44140625" customWidth="1"/>
    <col min="12040" max="12040" width="12.5546875" customWidth="1"/>
    <col min="12041" max="12041" width="13.44140625" customWidth="1"/>
    <col min="12042" max="12042" width="16.44140625" customWidth="1"/>
    <col min="12043" max="12043" width="11.109375" bestFit="1" customWidth="1"/>
    <col min="12291" max="12291" width="36.33203125" customWidth="1"/>
    <col min="12292" max="12292" width="12.109375" customWidth="1"/>
    <col min="12293" max="12293" width="13.5546875" customWidth="1"/>
    <col min="12294" max="12295" width="14.44140625" customWidth="1"/>
    <col min="12296" max="12296" width="12.5546875" customWidth="1"/>
    <col min="12297" max="12297" width="13.44140625" customWidth="1"/>
    <col min="12298" max="12298" width="16.44140625" customWidth="1"/>
    <col min="12299" max="12299" width="11.109375" bestFit="1" customWidth="1"/>
    <col min="12547" max="12547" width="36.33203125" customWidth="1"/>
    <col min="12548" max="12548" width="12.109375" customWidth="1"/>
    <col min="12549" max="12549" width="13.5546875" customWidth="1"/>
    <col min="12550" max="12551" width="14.44140625" customWidth="1"/>
    <col min="12552" max="12552" width="12.5546875" customWidth="1"/>
    <col min="12553" max="12553" width="13.44140625" customWidth="1"/>
    <col min="12554" max="12554" width="16.44140625" customWidth="1"/>
    <col min="12555" max="12555" width="11.109375" bestFit="1" customWidth="1"/>
    <col min="12803" max="12803" width="36.33203125" customWidth="1"/>
    <col min="12804" max="12804" width="12.109375" customWidth="1"/>
    <col min="12805" max="12805" width="13.5546875" customWidth="1"/>
    <col min="12806" max="12807" width="14.44140625" customWidth="1"/>
    <col min="12808" max="12808" width="12.5546875" customWidth="1"/>
    <col min="12809" max="12809" width="13.44140625" customWidth="1"/>
    <col min="12810" max="12810" width="16.44140625" customWidth="1"/>
    <col min="12811" max="12811" width="11.109375" bestFit="1" customWidth="1"/>
    <col min="13059" max="13059" width="36.33203125" customWidth="1"/>
    <col min="13060" max="13060" width="12.109375" customWidth="1"/>
    <col min="13061" max="13061" width="13.5546875" customWidth="1"/>
    <col min="13062" max="13063" width="14.44140625" customWidth="1"/>
    <col min="13064" max="13064" width="12.5546875" customWidth="1"/>
    <col min="13065" max="13065" width="13.44140625" customWidth="1"/>
    <col min="13066" max="13066" width="16.44140625" customWidth="1"/>
    <col min="13067" max="13067" width="11.109375" bestFit="1" customWidth="1"/>
    <col min="13315" max="13315" width="36.33203125" customWidth="1"/>
    <col min="13316" max="13316" width="12.109375" customWidth="1"/>
    <col min="13317" max="13317" width="13.5546875" customWidth="1"/>
    <col min="13318" max="13319" width="14.44140625" customWidth="1"/>
    <col min="13320" max="13320" width="12.5546875" customWidth="1"/>
    <col min="13321" max="13321" width="13.44140625" customWidth="1"/>
    <col min="13322" max="13322" width="16.44140625" customWidth="1"/>
    <col min="13323" max="13323" width="11.109375" bestFit="1" customWidth="1"/>
    <col min="13571" max="13571" width="36.33203125" customWidth="1"/>
    <col min="13572" max="13572" width="12.109375" customWidth="1"/>
    <col min="13573" max="13573" width="13.5546875" customWidth="1"/>
    <col min="13574" max="13575" width="14.44140625" customWidth="1"/>
    <col min="13576" max="13576" width="12.5546875" customWidth="1"/>
    <col min="13577" max="13577" width="13.44140625" customWidth="1"/>
    <col min="13578" max="13578" width="16.44140625" customWidth="1"/>
    <col min="13579" max="13579" width="11.109375" bestFit="1" customWidth="1"/>
    <col min="13827" max="13827" width="36.33203125" customWidth="1"/>
    <col min="13828" max="13828" width="12.109375" customWidth="1"/>
    <col min="13829" max="13829" width="13.5546875" customWidth="1"/>
    <col min="13830" max="13831" width="14.44140625" customWidth="1"/>
    <col min="13832" max="13832" width="12.5546875" customWidth="1"/>
    <col min="13833" max="13833" width="13.44140625" customWidth="1"/>
    <col min="13834" max="13834" width="16.44140625" customWidth="1"/>
    <col min="13835" max="13835" width="11.109375" bestFit="1" customWidth="1"/>
    <col min="14083" max="14083" width="36.33203125" customWidth="1"/>
    <col min="14084" max="14084" width="12.109375" customWidth="1"/>
    <col min="14085" max="14085" width="13.5546875" customWidth="1"/>
    <col min="14086" max="14087" width="14.44140625" customWidth="1"/>
    <col min="14088" max="14088" width="12.5546875" customWidth="1"/>
    <col min="14089" max="14089" width="13.44140625" customWidth="1"/>
    <col min="14090" max="14090" width="16.44140625" customWidth="1"/>
    <col min="14091" max="14091" width="11.109375" bestFit="1" customWidth="1"/>
    <col min="14339" max="14339" width="36.33203125" customWidth="1"/>
    <col min="14340" max="14340" width="12.109375" customWidth="1"/>
    <col min="14341" max="14341" width="13.5546875" customWidth="1"/>
    <col min="14342" max="14343" width="14.44140625" customWidth="1"/>
    <col min="14344" max="14344" width="12.5546875" customWidth="1"/>
    <col min="14345" max="14345" width="13.44140625" customWidth="1"/>
    <col min="14346" max="14346" width="16.44140625" customWidth="1"/>
    <col min="14347" max="14347" width="11.109375" bestFit="1" customWidth="1"/>
    <col min="14595" max="14595" width="36.33203125" customWidth="1"/>
    <col min="14596" max="14596" width="12.109375" customWidth="1"/>
    <col min="14597" max="14597" width="13.5546875" customWidth="1"/>
    <col min="14598" max="14599" width="14.44140625" customWidth="1"/>
    <col min="14600" max="14600" width="12.5546875" customWidth="1"/>
    <col min="14601" max="14601" width="13.44140625" customWidth="1"/>
    <col min="14602" max="14602" width="16.44140625" customWidth="1"/>
    <col min="14603" max="14603" width="11.109375" bestFit="1" customWidth="1"/>
    <col min="14851" max="14851" width="36.33203125" customWidth="1"/>
    <col min="14852" max="14852" width="12.109375" customWidth="1"/>
    <col min="14853" max="14853" width="13.5546875" customWidth="1"/>
    <col min="14854" max="14855" width="14.44140625" customWidth="1"/>
    <col min="14856" max="14856" width="12.5546875" customWidth="1"/>
    <col min="14857" max="14857" width="13.44140625" customWidth="1"/>
    <col min="14858" max="14858" width="16.44140625" customWidth="1"/>
    <col min="14859" max="14859" width="11.109375" bestFit="1" customWidth="1"/>
    <col min="15107" max="15107" width="36.33203125" customWidth="1"/>
    <col min="15108" max="15108" width="12.109375" customWidth="1"/>
    <col min="15109" max="15109" width="13.5546875" customWidth="1"/>
    <col min="15110" max="15111" width="14.44140625" customWidth="1"/>
    <col min="15112" max="15112" width="12.5546875" customWidth="1"/>
    <col min="15113" max="15113" width="13.44140625" customWidth="1"/>
    <col min="15114" max="15114" width="16.44140625" customWidth="1"/>
    <col min="15115" max="15115" width="11.109375" bestFit="1" customWidth="1"/>
    <col min="15363" max="15363" width="36.33203125" customWidth="1"/>
    <col min="15364" max="15364" width="12.109375" customWidth="1"/>
    <col min="15365" max="15365" width="13.5546875" customWidth="1"/>
    <col min="15366" max="15367" width="14.44140625" customWidth="1"/>
    <col min="15368" max="15368" width="12.5546875" customWidth="1"/>
    <col min="15369" max="15369" width="13.44140625" customWidth="1"/>
    <col min="15370" max="15370" width="16.44140625" customWidth="1"/>
    <col min="15371" max="15371" width="11.109375" bestFit="1" customWidth="1"/>
    <col min="15619" max="15619" width="36.33203125" customWidth="1"/>
    <col min="15620" max="15620" width="12.109375" customWidth="1"/>
    <col min="15621" max="15621" width="13.5546875" customWidth="1"/>
    <col min="15622" max="15623" width="14.44140625" customWidth="1"/>
    <col min="15624" max="15624" width="12.5546875" customWidth="1"/>
    <col min="15625" max="15625" width="13.44140625" customWidth="1"/>
    <col min="15626" max="15626" width="16.44140625" customWidth="1"/>
    <col min="15627" max="15627" width="11.109375" bestFit="1" customWidth="1"/>
    <col min="15875" max="15875" width="36.33203125" customWidth="1"/>
    <col min="15876" max="15876" width="12.109375" customWidth="1"/>
    <col min="15877" max="15877" width="13.5546875" customWidth="1"/>
    <col min="15878" max="15879" width="14.44140625" customWidth="1"/>
    <col min="15880" max="15880" width="12.5546875" customWidth="1"/>
    <col min="15881" max="15881" width="13.44140625" customWidth="1"/>
    <col min="15882" max="15882" width="16.44140625" customWidth="1"/>
    <col min="15883" max="15883" width="11.109375" bestFit="1" customWidth="1"/>
    <col min="16131" max="16131" width="36.33203125" customWidth="1"/>
    <col min="16132" max="16132" width="12.109375" customWidth="1"/>
    <col min="16133" max="16133" width="13.5546875" customWidth="1"/>
    <col min="16134" max="16135" width="14.44140625" customWidth="1"/>
    <col min="16136" max="16136" width="12.5546875" customWidth="1"/>
    <col min="16137" max="16137" width="13.44140625" customWidth="1"/>
    <col min="16138" max="16138" width="16.44140625" customWidth="1"/>
    <col min="16139" max="16139" width="11.109375" bestFit="1" customWidth="1"/>
  </cols>
  <sheetData>
    <row r="1" spans="1:258">
      <c r="J1" s="100" t="s">
        <v>333</v>
      </c>
    </row>
    <row r="2" spans="1:258" ht="15">
      <c r="I2" s="101"/>
    </row>
    <row r="4" spans="1:258" ht="12.75" customHeight="1">
      <c r="A4" s="727" t="s">
        <v>46</v>
      </c>
      <c r="B4" s="727"/>
      <c r="C4" s="727"/>
      <c r="D4" s="727"/>
      <c r="E4" s="727"/>
      <c r="F4" s="727"/>
      <c r="G4" s="727"/>
      <c r="H4" s="727"/>
      <c r="I4" s="727"/>
      <c r="J4" s="727"/>
    </row>
    <row r="5" spans="1:258" ht="12.75" customHeight="1">
      <c r="A5" s="727" t="s">
        <v>47</v>
      </c>
      <c r="B5" s="727"/>
      <c r="C5" s="727"/>
      <c r="D5" s="727"/>
      <c r="E5" s="727"/>
      <c r="F5" s="727"/>
      <c r="G5" s="727"/>
      <c r="H5" s="727"/>
      <c r="I5" s="727"/>
      <c r="J5" s="727"/>
    </row>
    <row r="6" spans="1:258">
      <c r="A6" s="907" t="s">
        <v>334</v>
      </c>
      <c r="B6" s="907"/>
      <c r="C6" s="907"/>
      <c r="D6" s="907"/>
      <c r="E6" s="907" t="s">
        <v>48</v>
      </c>
      <c r="F6" s="907"/>
      <c r="G6" s="907"/>
      <c r="H6" s="907"/>
      <c r="I6" s="907"/>
      <c r="J6" s="907"/>
      <c r="K6" s="727"/>
      <c r="L6" s="727"/>
      <c r="M6" s="727"/>
      <c r="N6" s="727"/>
      <c r="O6" s="727"/>
      <c r="P6" s="727"/>
      <c r="Q6" s="727"/>
      <c r="R6" s="727"/>
      <c r="S6" s="727"/>
      <c r="T6" s="727"/>
      <c r="U6" s="727"/>
      <c r="V6" s="727"/>
      <c r="W6" s="727"/>
      <c r="X6" s="727"/>
      <c r="Y6" s="727"/>
      <c r="Z6" s="727"/>
      <c r="AA6" s="727"/>
      <c r="AB6" s="727"/>
      <c r="AC6" s="727"/>
      <c r="AD6" s="727"/>
      <c r="AE6" s="727"/>
      <c r="AF6" s="727"/>
      <c r="AG6" s="727"/>
      <c r="AH6" s="727"/>
      <c r="AI6" s="727"/>
      <c r="AJ6" s="727"/>
      <c r="AK6" s="727"/>
      <c r="AL6" s="727"/>
      <c r="AM6" s="727"/>
      <c r="AN6" s="727"/>
      <c r="AO6" s="727"/>
      <c r="AP6" s="727"/>
      <c r="AQ6" s="727"/>
      <c r="AR6" s="727"/>
      <c r="AS6" s="727"/>
      <c r="AT6" s="727"/>
      <c r="AU6" s="727"/>
      <c r="AV6" s="727"/>
      <c r="AW6" s="727"/>
      <c r="AX6" s="727"/>
      <c r="AY6" s="727"/>
      <c r="AZ6" s="727"/>
      <c r="BA6" s="727"/>
      <c r="BB6" s="727"/>
      <c r="BC6" s="727"/>
      <c r="BD6" s="727"/>
      <c r="BE6" s="727"/>
      <c r="BF6" s="727"/>
      <c r="BG6" s="727"/>
      <c r="BH6" s="727"/>
      <c r="BI6" s="727"/>
      <c r="BJ6" s="727"/>
      <c r="BK6" s="727"/>
      <c r="BL6" s="727"/>
      <c r="BM6" s="727"/>
      <c r="BN6" s="727"/>
      <c r="BO6" s="727"/>
      <c r="BP6" s="727"/>
      <c r="BQ6" s="727"/>
      <c r="BR6" s="727"/>
      <c r="BS6" s="727"/>
      <c r="BT6" s="727"/>
      <c r="BU6" s="727"/>
      <c r="BV6" s="727"/>
      <c r="BW6" s="727"/>
      <c r="BX6" s="727"/>
      <c r="BY6" s="727"/>
      <c r="BZ6" s="727"/>
      <c r="CA6" s="727"/>
      <c r="CB6" s="727"/>
      <c r="CC6" s="727"/>
      <c r="CD6" s="727"/>
      <c r="CE6" s="727"/>
      <c r="CF6" s="727"/>
      <c r="CG6" s="727"/>
      <c r="CH6" s="727"/>
      <c r="CI6" s="727"/>
      <c r="CJ6" s="727"/>
      <c r="CK6" s="727"/>
      <c r="CL6" s="727"/>
      <c r="CM6" s="727"/>
      <c r="CN6" s="727"/>
      <c r="CO6" s="727"/>
      <c r="CP6" s="727"/>
      <c r="CQ6" s="727"/>
      <c r="CR6" s="727"/>
      <c r="CS6" s="727"/>
      <c r="CT6" s="727"/>
      <c r="CU6" s="727"/>
      <c r="CV6" s="727"/>
      <c r="CW6" s="727"/>
      <c r="CX6" s="727"/>
      <c r="CY6" s="727"/>
      <c r="CZ6" s="727"/>
      <c r="DA6" s="727"/>
      <c r="DB6" s="727"/>
      <c r="DC6" s="727"/>
      <c r="DD6" s="727"/>
      <c r="DE6" s="727"/>
      <c r="DF6" s="727"/>
      <c r="DG6" s="727"/>
      <c r="DH6" s="727"/>
      <c r="DI6" s="727"/>
      <c r="DJ6" s="727"/>
      <c r="DK6" s="727"/>
      <c r="DL6" s="727"/>
      <c r="DM6" s="727"/>
      <c r="DN6" s="727"/>
      <c r="DO6" s="727"/>
      <c r="DP6" s="727"/>
      <c r="DQ6" s="727"/>
      <c r="DR6" s="727"/>
      <c r="DS6" s="727"/>
      <c r="DT6" s="727"/>
      <c r="DU6" s="727"/>
      <c r="DV6" s="727"/>
      <c r="DW6" s="727"/>
      <c r="DX6" s="727"/>
      <c r="DY6" s="727"/>
      <c r="DZ6" s="727"/>
      <c r="EA6" s="727"/>
      <c r="EB6" s="727"/>
      <c r="EC6" s="727"/>
      <c r="ED6" s="727"/>
      <c r="EE6" s="727"/>
      <c r="EF6" s="727"/>
      <c r="EG6" s="727"/>
      <c r="EH6" s="727"/>
      <c r="EI6" s="727"/>
      <c r="EJ6" s="727"/>
      <c r="EK6" s="727"/>
      <c r="EL6" s="727"/>
      <c r="EM6" s="727"/>
      <c r="EN6" s="727"/>
      <c r="EO6" s="727"/>
      <c r="EP6" s="727"/>
      <c r="EQ6" s="727"/>
      <c r="ER6" s="727"/>
      <c r="ES6" s="727"/>
      <c r="ET6" s="727"/>
      <c r="EU6" s="727"/>
      <c r="EV6" s="727"/>
      <c r="EW6" s="727"/>
      <c r="EX6" s="727"/>
      <c r="EY6" s="727"/>
      <c r="EZ6" s="727"/>
      <c r="FA6" s="727"/>
      <c r="FB6" s="727"/>
      <c r="FC6" s="727"/>
      <c r="FD6" s="727"/>
      <c r="FE6" s="727"/>
      <c r="FF6" s="727"/>
      <c r="FG6" s="727"/>
      <c r="FH6" s="727"/>
      <c r="FI6" s="727"/>
      <c r="FJ6" s="727"/>
      <c r="FK6" s="727"/>
      <c r="FL6" s="727"/>
      <c r="FM6" s="727"/>
      <c r="FN6" s="727"/>
      <c r="FO6" s="727"/>
      <c r="FP6" s="727"/>
      <c r="FQ6" s="727"/>
      <c r="FR6" s="727"/>
      <c r="FS6" s="727"/>
      <c r="FT6" s="727"/>
      <c r="FU6" s="727"/>
      <c r="FV6" s="727"/>
      <c r="FW6" s="727"/>
      <c r="FX6" s="727"/>
      <c r="FY6" s="727"/>
      <c r="FZ6" s="727"/>
      <c r="GA6" s="727"/>
      <c r="GB6" s="727"/>
      <c r="GC6" s="727"/>
      <c r="GD6" s="727"/>
      <c r="GE6" s="727"/>
      <c r="GF6" s="727"/>
      <c r="GG6" s="727"/>
      <c r="GH6" s="727"/>
      <c r="GI6" s="727"/>
      <c r="GJ6" s="727"/>
      <c r="GK6" s="727"/>
      <c r="GL6" s="727"/>
      <c r="GM6" s="727"/>
      <c r="GN6" s="727"/>
      <c r="GO6" s="727"/>
      <c r="GP6" s="727"/>
      <c r="GQ6" s="727"/>
      <c r="GR6" s="727"/>
      <c r="GS6" s="727"/>
      <c r="GT6" s="727"/>
      <c r="GU6" s="727"/>
      <c r="GV6" s="727"/>
      <c r="GW6" s="727"/>
      <c r="GX6" s="727"/>
      <c r="GY6" s="727"/>
      <c r="GZ6" s="727"/>
      <c r="HA6" s="727"/>
      <c r="HB6" s="727"/>
      <c r="HC6" s="727"/>
      <c r="HD6" s="727"/>
      <c r="HE6" s="727"/>
      <c r="HF6" s="727"/>
      <c r="HG6" s="727"/>
      <c r="HH6" s="727"/>
      <c r="HI6" s="727"/>
      <c r="HJ6" s="727"/>
      <c r="HK6" s="727"/>
      <c r="HL6" s="727"/>
      <c r="HM6" s="727"/>
      <c r="HN6" s="727"/>
      <c r="HO6" s="727"/>
      <c r="HP6" s="727"/>
      <c r="HQ6" s="727"/>
      <c r="HR6" s="727"/>
      <c r="HS6" s="727"/>
      <c r="HT6" s="727"/>
      <c r="HU6" s="727"/>
      <c r="HV6" s="727"/>
      <c r="HW6" s="727"/>
      <c r="HX6" s="727"/>
      <c r="HY6" s="727"/>
      <c r="HZ6" s="727"/>
      <c r="IA6" s="727"/>
      <c r="IB6" s="727"/>
      <c r="IC6" s="727"/>
      <c r="ID6" s="727"/>
      <c r="IE6" s="727"/>
      <c r="IF6" s="727"/>
      <c r="IG6" s="727"/>
      <c r="IH6" s="727"/>
      <c r="II6" s="727"/>
      <c r="IJ6" s="727"/>
      <c r="IK6" s="727"/>
      <c r="IL6" s="727"/>
      <c r="IM6" s="727"/>
      <c r="IN6" s="727"/>
      <c r="IO6" s="727"/>
      <c r="IP6" s="727"/>
      <c r="IQ6" s="727"/>
      <c r="IR6" s="727"/>
      <c r="IS6" s="727"/>
      <c r="IT6" s="727"/>
      <c r="IU6" s="727"/>
      <c r="IV6" s="727"/>
      <c r="IW6" s="727"/>
      <c r="IX6" s="727"/>
    </row>
    <row r="8" spans="1:258">
      <c r="J8" s="102" t="s">
        <v>49</v>
      </c>
    </row>
    <row r="9" spans="1:258" ht="31.2">
      <c r="A9" s="8" t="s">
        <v>53</v>
      </c>
      <c r="B9" s="473" t="s">
        <v>586</v>
      </c>
      <c r="C9" s="103" t="s">
        <v>524</v>
      </c>
      <c r="D9" s="473" t="s">
        <v>525</v>
      </c>
      <c r="E9" s="103" t="s">
        <v>55</v>
      </c>
      <c r="F9" s="103" t="s">
        <v>56</v>
      </c>
      <c r="G9" s="103" t="s">
        <v>57</v>
      </c>
      <c r="H9" s="104" t="s">
        <v>58</v>
      </c>
      <c r="I9" s="103" t="s">
        <v>54</v>
      </c>
      <c r="J9" s="103" t="s">
        <v>15</v>
      </c>
    </row>
    <row r="10" spans="1:258">
      <c r="A10" s="94" t="s">
        <v>50</v>
      </c>
      <c r="B10" s="105"/>
      <c r="C10" s="105"/>
      <c r="D10" s="105"/>
      <c r="E10" s="105"/>
      <c r="F10" s="105"/>
      <c r="G10" s="105"/>
      <c r="H10" s="105"/>
      <c r="I10" s="105"/>
      <c r="J10" s="105"/>
    </row>
    <row r="11" spans="1:258">
      <c r="A11" s="275" t="s">
        <v>335</v>
      </c>
      <c r="B11" s="105">
        <v>17754</v>
      </c>
      <c r="C11" s="105">
        <v>93909</v>
      </c>
      <c r="D11" s="105">
        <f>SUM(B11+C11)</f>
        <v>111663</v>
      </c>
      <c r="E11" s="105">
        <v>12474</v>
      </c>
      <c r="F11" s="105">
        <v>12225</v>
      </c>
      <c r="G11" s="105">
        <v>11986</v>
      </c>
      <c r="H11" s="105">
        <v>11726</v>
      </c>
      <c r="I11" s="105">
        <v>125473</v>
      </c>
      <c r="J11" s="105">
        <f>SUM(D11:I11)</f>
        <v>285547</v>
      </c>
      <c r="K11" s="490"/>
    </row>
    <row r="12" spans="1:258">
      <c r="A12" s="275" t="s">
        <v>336</v>
      </c>
      <c r="B12" s="105">
        <v>53775</v>
      </c>
      <c r="C12" s="105">
        <v>0</v>
      </c>
      <c r="D12" s="105">
        <f>SUM(B12:C12)</f>
        <v>53775</v>
      </c>
      <c r="E12" s="105">
        <v>4808</v>
      </c>
      <c r="F12" s="105"/>
      <c r="G12" s="105"/>
      <c r="H12" s="105"/>
      <c r="I12" s="105"/>
      <c r="J12" s="105">
        <f t="shared" ref="J12:J27" si="0">SUM(D12:I12)</f>
        <v>58583</v>
      </c>
    </row>
    <row r="13" spans="1:258">
      <c r="A13" s="275" t="s">
        <v>337</v>
      </c>
      <c r="B13" s="105">
        <v>555871</v>
      </c>
      <c r="C13" s="105">
        <v>-29441</v>
      </c>
      <c r="D13" s="105">
        <f>SUM(B13+C13)</f>
        <v>526430</v>
      </c>
      <c r="E13" s="105">
        <v>132987</v>
      </c>
      <c r="F13" s="105"/>
      <c r="G13" s="105"/>
      <c r="H13" s="105"/>
      <c r="I13" s="105"/>
      <c r="J13" s="105">
        <f t="shared" si="0"/>
        <v>659417</v>
      </c>
    </row>
    <row r="14" spans="1:258">
      <c r="A14" s="275" t="s">
        <v>338</v>
      </c>
      <c r="B14" s="105">
        <v>343233</v>
      </c>
      <c r="C14" s="105">
        <v>-218729</v>
      </c>
      <c r="D14" s="105">
        <f t="shared" ref="D14:D27" si="1">SUM(B14+C14)</f>
        <v>124504</v>
      </c>
      <c r="E14" s="105"/>
      <c r="F14" s="105"/>
      <c r="G14" s="105"/>
      <c r="H14" s="105"/>
      <c r="I14" s="105"/>
      <c r="J14" s="105">
        <f t="shared" si="0"/>
        <v>124504</v>
      </c>
    </row>
    <row r="15" spans="1:258">
      <c r="A15" s="275" t="s">
        <v>339</v>
      </c>
      <c r="B15" s="105">
        <v>109315</v>
      </c>
      <c r="C15" s="105">
        <v>0</v>
      </c>
      <c r="D15" s="105">
        <f>SUM(B15+C15)</f>
        <v>109315</v>
      </c>
      <c r="E15" s="105"/>
      <c r="F15" s="105"/>
      <c r="G15" s="105"/>
      <c r="H15" s="105"/>
      <c r="I15" s="105"/>
      <c r="J15" s="105">
        <f t="shared" si="0"/>
        <v>109315</v>
      </c>
    </row>
    <row r="16" spans="1:258">
      <c r="A16" s="275" t="s">
        <v>340</v>
      </c>
      <c r="B16" s="105">
        <v>137232</v>
      </c>
      <c r="C16" s="105">
        <v>-1464</v>
      </c>
      <c r="D16" s="105">
        <f t="shared" si="1"/>
        <v>135768</v>
      </c>
      <c r="E16" s="105"/>
      <c r="F16" s="105"/>
      <c r="G16" s="105"/>
      <c r="H16" s="105"/>
      <c r="I16" s="105"/>
      <c r="J16" s="105">
        <f t="shared" si="0"/>
        <v>135768</v>
      </c>
    </row>
    <row r="17" spans="1:10">
      <c r="A17" s="275" t="s">
        <v>341</v>
      </c>
      <c r="B17" s="105">
        <v>170167</v>
      </c>
      <c r="C17" s="105"/>
      <c r="D17" s="105">
        <f t="shared" si="1"/>
        <v>170167</v>
      </c>
      <c r="E17" s="105"/>
      <c r="F17" s="105"/>
      <c r="G17" s="105"/>
      <c r="H17" s="105"/>
      <c r="I17" s="105"/>
      <c r="J17" s="105">
        <f t="shared" si="0"/>
        <v>170167</v>
      </c>
    </row>
    <row r="18" spans="1:10">
      <c r="A18" s="275" t="s">
        <v>596</v>
      </c>
      <c r="B18" s="105">
        <v>15596</v>
      </c>
      <c r="C18" s="105"/>
      <c r="D18" s="105">
        <f t="shared" si="1"/>
        <v>15596</v>
      </c>
      <c r="E18" s="105"/>
      <c r="F18" s="105"/>
      <c r="G18" s="105"/>
      <c r="H18" s="105"/>
      <c r="I18" s="105"/>
      <c r="J18" s="105">
        <f t="shared" si="0"/>
        <v>15596</v>
      </c>
    </row>
    <row r="19" spans="1:10">
      <c r="A19" s="275" t="s">
        <v>342</v>
      </c>
      <c r="B19" s="105">
        <v>37215</v>
      </c>
      <c r="C19" s="105"/>
      <c r="D19" s="105">
        <f t="shared" si="1"/>
        <v>37215</v>
      </c>
      <c r="E19" s="105"/>
      <c r="F19" s="105"/>
      <c r="G19" s="105"/>
      <c r="H19" s="105"/>
      <c r="I19" s="105"/>
      <c r="J19" s="105">
        <f t="shared" si="0"/>
        <v>37215</v>
      </c>
    </row>
    <row r="20" spans="1:10">
      <c r="A20" s="275" t="s">
        <v>343</v>
      </c>
      <c r="B20" s="105">
        <v>23875</v>
      </c>
      <c r="C20" s="105"/>
      <c r="D20" s="105">
        <f t="shared" si="1"/>
        <v>23875</v>
      </c>
      <c r="E20" s="105"/>
      <c r="F20" s="105"/>
      <c r="G20" s="105"/>
      <c r="H20" s="105"/>
      <c r="I20" s="105"/>
      <c r="J20" s="105">
        <f t="shared" si="0"/>
        <v>23875</v>
      </c>
    </row>
    <row r="21" spans="1:10">
      <c r="A21" s="275" t="s">
        <v>344</v>
      </c>
      <c r="B21" s="105">
        <v>9000</v>
      </c>
      <c r="C21" s="105"/>
      <c r="D21" s="105">
        <f t="shared" si="1"/>
        <v>9000</v>
      </c>
      <c r="E21" s="105"/>
      <c r="F21" s="105"/>
      <c r="G21" s="105"/>
      <c r="H21" s="105"/>
      <c r="I21" s="105"/>
      <c r="J21" s="105">
        <f t="shared" si="0"/>
        <v>9000</v>
      </c>
    </row>
    <row r="22" spans="1:10">
      <c r="A22" s="275" t="s">
        <v>597</v>
      </c>
      <c r="B22" s="105">
        <v>0</v>
      </c>
      <c r="C22" s="105">
        <v>4096</v>
      </c>
      <c r="D22" s="105">
        <f t="shared" si="1"/>
        <v>4096</v>
      </c>
      <c r="E22" s="105"/>
      <c r="F22" s="105"/>
      <c r="G22" s="105"/>
      <c r="H22" s="105"/>
      <c r="I22" s="105"/>
      <c r="J22" s="105">
        <f t="shared" si="0"/>
        <v>4096</v>
      </c>
    </row>
    <row r="23" spans="1:10">
      <c r="A23" s="275" t="s">
        <v>345</v>
      </c>
      <c r="B23" s="105">
        <v>245100</v>
      </c>
      <c r="C23" s="105">
        <v>-50484</v>
      </c>
      <c r="D23" s="105">
        <f t="shared" si="1"/>
        <v>194616</v>
      </c>
      <c r="E23" s="105">
        <v>141499</v>
      </c>
      <c r="F23" s="105">
        <v>139316</v>
      </c>
      <c r="G23" s="105">
        <v>137204</v>
      </c>
      <c r="H23" s="105">
        <v>134948</v>
      </c>
      <c r="I23" s="105">
        <v>1285200</v>
      </c>
      <c r="J23" s="105">
        <f t="shared" si="0"/>
        <v>2032783</v>
      </c>
    </row>
    <row r="24" spans="1:10">
      <c r="A24" s="275" t="s">
        <v>346</v>
      </c>
      <c r="B24" s="105">
        <v>158168</v>
      </c>
      <c r="C24" s="105">
        <v>-33122</v>
      </c>
      <c r="D24" s="105">
        <f t="shared" si="1"/>
        <v>125046</v>
      </c>
      <c r="E24" s="105">
        <v>91292</v>
      </c>
      <c r="F24" s="105">
        <v>89815</v>
      </c>
      <c r="G24" s="105">
        <v>88385</v>
      </c>
      <c r="H24" s="105">
        <v>86858</v>
      </c>
      <c r="I24" s="105">
        <v>827388</v>
      </c>
      <c r="J24" s="105">
        <f t="shared" si="0"/>
        <v>1308784</v>
      </c>
    </row>
    <row r="25" spans="1:10">
      <c r="A25" s="275" t="s">
        <v>347</v>
      </c>
      <c r="B25" s="105">
        <v>103162</v>
      </c>
      <c r="C25" s="105">
        <v>-21413</v>
      </c>
      <c r="D25" s="105">
        <f t="shared" si="1"/>
        <v>81749</v>
      </c>
      <c r="E25" s="105">
        <v>59561</v>
      </c>
      <c r="F25" s="105">
        <v>58483</v>
      </c>
      <c r="G25" s="105">
        <v>57558</v>
      </c>
      <c r="H25" s="105">
        <v>56567</v>
      </c>
      <c r="I25" s="105">
        <v>536147</v>
      </c>
      <c r="J25" s="105">
        <f t="shared" si="0"/>
        <v>850065</v>
      </c>
    </row>
    <row r="26" spans="1:10">
      <c r="A26" s="275" t="s">
        <v>348</v>
      </c>
      <c r="B26" s="105"/>
      <c r="C26" s="105"/>
      <c r="D26" s="105">
        <f t="shared" si="1"/>
        <v>0</v>
      </c>
      <c r="E26" s="105">
        <v>175290</v>
      </c>
      <c r="F26" s="105">
        <v>201901</v>
      </c>
      <c r="G26" s="105">
        <v>189481</v>
      </c>
      <c r="H26" s="105">
        <v>176855</v>
      </c>
      <c r="I26" s="105">
        <v>203467</v>
      </c>
      <c r="J26" s="105">
        <f t="shared" si="0"/>
        <v>946994</v>
      </c>
    </row>
    <row r="27" spans="1:10">
      <c r="A27" s="275" t="s">
        <v>510</v>
      </c>
      <c r="B27" s="105"/>
      <c r="C27" s="105"/>
      <c r="D27" s="105">
        <f t="shared" si="1"/>
        <v>0</v>
      </c>
      <c r="E27" s="105">
        <v>174679</v>
      </c>
      <c r="F27" s="105"/>
      <c r="G27" s="105"/>
      <c r="H27" s="105"/>
      <c r="I27" s="105"/>
      <c r="J27" s="105">
        <f t="shared" si="0"/>
        <v>174679</v>
      </c>
    </row>
    <row r="28" spans="1:10">
      <c r="A28" s="94" t="s">
        <v>51</v>
      </c>
      <c r="B28" s="105"/>
      <c r="C28" s="105"/>
      <c r="D28" s="105"/>
      <c r="E28" s="105"/>
      <c r="F28" s="105"/>
      <c r="G28" s="105"/>
      <c r="H28" s="105"/>
      <c r="I28" s="105"/>
      <c r="J28" s="105"/>
    </row>
    <row r="29" spans="1:10">
      <c r="A29" s="94" t="s">
        <v>52</v>
      </c>
      <c r="B29" s="105"/>
      <c r="C29" s="105"/>
      <c r="D29" s="105"/>
      <c r="E29" s="105"/>
      <c r="F29" s="105"/>
      <c r="G29" s="105"/>
      <c r="H29" s="105"/>
      <c r="I29" s="105"/>
      <c r="J29" s="105"/>
    </row>
    <row r="30" spans="1:10">
      <c r="A30" s="94" t="s">
        <v>52</v>
      </c>
      <c r="B30" s="105"/>
      <c r="C30" s="105"/>
      <c r="D30" s="105"/>
      <c r="E30" s="105"/>
      <c r="F30" s="105"/>
      <c r="G30" s="105"/>
      <c r="H30" s="105"/>
      <c r="I30" s="105"/>
      <c r="J30" s="105"/>
    </row>
    <row r="31" spans="1:10">
      <c r="A31" s="94" t="s">
        <v>59</v>
      </c>
      <c r="B31" s="105"/>
      <c r="C31" s="105"/>
      <c r="D31" s="105"/>
      <c r="E31" s="105"/>
      <c r="F31" s="105"/>
      <c r="G31" s="105"/>
      <c r="H31" s="105"/>
      <c r="I31" s="105"/>
      <c r="J31" s="105"/>
    </row>
    <row r="32" spans="1:10">
      <c r="A32" s="94" t="s">
        <v>59</v>
      </c>
      <c r="B32" s="105"/>
      <c r="C32" s="105"/>
      <c r="D32" s="105"/>
      <c r="E32" s="105"/>
      <c r="F32" s="105"/>
      <c r="G32" s="105"/>
      <c r="H32" s="105"/>
      <c r="I32" s="105"/>
      <c r="J32" s="105"/>
    </row>
    <row r="33" spans="1:10">
      <c r="A33" s="94" t="s">
        <v>60</v>
      </c>
      <c r="B33" s="105"/>
      <c r="C33" s="105"/>
      <c r="D33" s="105"/>
      <c r="E33" s="105"/>
      <c r="F33" s="105"/>
      <c r="G33" s="105"/>
      <c r="H33" s="105"/>
      <c r="I33" s="105"/>
      <c r="J33" s="105"/>
    </row>
    <row r="34" spans="1:10">
      <c r="A34" s="94" t="s">
        <v>60</v>
      </c>
      <c r="B34" s="105"/>
      <c r="C34" s="105"/>
      <c r="D34" s="105"/>
      <c r="E34" s="105"/>
      <c r="F34" s="105"/>
      <c r="G34" s="105"/>
      <c r="H34" s="105"/>
      <c r="I34" s="105"/>
      <c r="J34" s="105"/>
    </row>
    <row r="35" spans="1:10">
      <c r="A35" s="10"/>
      <c r="B35" s="105"/>
      <c r="C35" s="105"/>
      <c r="D35" s="105"/>
      <c r="E35" s="105"/>
      <c r="F35" s="105"/>
      <c r="G35" s="105"/>
      <c r="H35" s="105"/>
      <c r="I35" s="105"/>
      <c r="J35" s="105"/>
    </row>
    <row r="36" spans="1:10">
      <c r="A36" s="10"/>
      <c r="B36" s="105"/>
      <c r="C36" s="105"/>
      <c r="D36" s="105"/>
      <c r="E36" s="105"/>
      <c r="F36" s="105"/>
      <c r="G36" s="105"/>
      <c r="H36" s="105"/>
      <c r="I36" s="105"/>
      <c r="J36" s="105"/>
    </row>
    <row r="37" spans="1:10">
      <c r="A37" s="11" t="s">
        <v>43</v>
      </c>
      <c r="B37" s="106">
        <f>SUM(B11:B36)</f>
        <v>1979463</v>
      </c>
      <c r="C37" s="106">
        <f t="shared" ref="C37:D37" si="2">SUM(C11:C36)</f>
        <v>-256648</v>
      </c>
      <c r="D37" s="106">
        <f t="shared" si="2"/>
        <v>1722815</v>
      </c>
      <c r="E37" s="106">
        <f t="shared" ref="E37:J37" si="3">SUM(E11:E36)</f>
        <v>792590</v>
      </c>
      <c r="F37" s="106">
        <f t="shared" si="3"/>
        <v>501740</v>
      </c>
      <c r="G37" s="106">
        <f t="shared" si="3"/>
        <v>484614</v>
      </c>
      <c r="H37" s="106">
        <f t="shared" si="3"/>
        <v>466954</v>
      </c>
      <c r="I37" s="106">
        <f t="shared" si="3"/>
        <v>2977675</v>
      </c>
      <c r="J37" s="106">
        <f t="shared" si="3"/>
        <v>6946388</v>
      </c>
    </row>
    <row r="90" ht="18" customHeight="1"/>
  </sheetData>
  <mergeCells count="34">
    <mergeCell ref="BW6:CD6"/>
    <mergeCell ref="A4:J4"/>
    <mergeCell ref="A5:J5"/>
    <mergeCell ref="A6:J6"/>
    <mergeCell ref="K6:R6"/>
    <mergeCell ref="S6:Z6"/>
    <mergeCell ref="AA6:AH6"/>
    <mergeCell ref="AI6:AP6"/>
    <mergeCell ref="AQ6:AX6"/>
    <mergeCell ref="AY6:BF6"/>
    <mergeCell ref="BG6:BN6"/>
    <mergeCell ref="BO6:BV6"/>
    <mergeCell ref="FO6:FV6"/>
    <mergeCell ref="CE6:CL6"/>
    <mergeCell ref="CM6:CT6"/>
    <mergeCell ref="CU6:DB6"/>
    <mergeCell ref="DC6:DJ6"/>
    <mergeCell ref="DK6:DR6"/>
    <mergeCell ref="DS6:DZ6"/>
    <mergeCell ref="EA6:EH6"/>
    <mergeCell ref="EI6:EP6"/>
    <mergeCell ref="EQ6:EX6"/>
    <mergeCell ref="EY6:FF6"/>
    <mergeCell ref="FG6:FN6"/>
    <mergeCell ref="HS6:HZ6"/>
    <mergeCell ref="IA6:IH6"/>
    <mergeCell ref="II6:IP6"/>
    <mergeCell ref="IQ6:IX6"/>
    <mergeCell ref="FW6:GD6"/>
    <mergeCell ref="GE6:GL6"/>
    <mergeCell ref="GM6:GT6"/>
    <mergeCell ref="GU6:HB6"/>
    <mergeCell ref="HC6:HJ6"/>
    <mergeCell ref="HK6:HR6"/>
  </mergeCells>
  <printOptions horizontalCentered="1"/>
  <pageMargins left="0.23622047244094491" right="0.23622047244094491" top="0.31496062992125984" bottom="0.15748031496062992" header="0.15748031496062992" footer="0.19685039370078741"/>
  <pageSetup paperSize="9" scale="80" orientation="landscape" r:id="rId1"/>
  <headerFooter alignWithMargins="0">
    <oddHeader>&amp;LVeresegyház Város Önkormányzat</oddHeader>
    <oddFooter>&amp;LVeresegyház, 2013. Szeptember 03.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17</vt:i4>
      </vt:variant>
      <vt:variant>
        <vt:lpstr>Névvel ellátott tartományok</vt:lpstr>
      </vt:variant>
      <vt:variant>
        <vt:i4>4</vt:i4>
      </vt:variant>
    </vt:vector>
  </HeadingPairs>
  <TitlesOfParts>
    <vt:vector size="21" baseType="lpstr">
      <vt:lpstr>10.1-10.5</vt:lpstr>
      <vt:lpstr>10.6.-10.9</vt:lpstr>
      <vt:lpstr>11.1-11.5</vt:lpstr>
      <vt:lpstr>12.</vt:lpstr>
      <vt:lpstr>13.-14.</vt:lpstr>
      <vt:lpstr>15.  </vt:lpstr>
      <vt:lpstr>16-17.  </vt:lpstr>
      <vt:lpstr>18. </vt:lpstr>
      <vt:lpstr>19. </vt:lpstr>
      <vt:lpstr>20.</vt:lpstr>
      <vt:lpstr>21. </vt:lpstr>
      <vt:lpstr>22.-24.</vt:lpstr>
      <vt:lpstr>25.1-25.3 .</vt:lpstr>
      <vt:lpstr>26.sz.mell. </vt:lpstr>
      <vt:lpstr>27. sz. mell.</vt:lpstr>
      <vt:lpstr>28.sz</vt:lpstr>
      <vt:lpstr>29.sz.</vt:lpstr>
      <vt:lpstr>'12.'!Nyomtatási_cím</vt:lpstr>
      <vt:lpstr>'28.sz'!Nyomtatási_cím</vt:lpstr>
      <vt:lpstr>'29.sz.'!Nyomtatási_cím</vt:lpstr>
      <vt:lpstr>'19. 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Jáger Ágnes</dc:creator>
  <cp:lastModifiedBy>szabok</cp:lastModifiedBy>
  <cp:lastPrinted>2013-09-04T10:25:47Z</cp:lastPrinted>
  <dcterms:created xsi:type="dcterms:W3CDTF">2001-01-11T08:42:07Z</dcterms:created>
  <dcterms:modified xsi:type="dcterms:W3CDTF">2013-09-04T10:32:45Z</dcterms:modified>
</cp:coreProperties>
</file>