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1535" windowHeight="9690" tabRatio="916"/>
  </bookViews>
  <sheets>
    <sheet name="10.1.-10.9." sheetId="23" r:id="rId1"/>
    <sheet name="10.10.-10.12. " sheetId="24" r:id="rId2"/>
    <sheet name="10.13.-10.18. " sheetId="25" r:id="rId3"/>
    <sheet name="11.1.-11.9. mell." sheetId="26" r:id="rId4"/>
    <sheet name="12.1 -12.2 melléklet önk.,ph" sheetId="62" r:id="rId5"/>
    <sheet name="12.3 -12.4.mell." sheetId="63" r:id="rId6"/>
    <sheet name="13.1 melléklet önk" sheetId="64" r:id="rId7"/>
    <sheet name="13.2-3. melléklet intézmény" sheetId="65" r:id="rId8"/>
    <sheet name="14. mell." sheetId="27" r:id="rId9"/>
    <sheet name="15. melléklet" sheetId="28" r:id="rId10"/>
    <sheet name="16-17. mell." sheetId="29" r:id="rId11"/>
    <sheet name="18. mell. " sheetId="30" r:id="rId12"/>
    <sheet name="19. mell." sheetId="31" r:id="rId13"/>
    <sheet name="19.1." sheetId="41" r:id="rId14"/>
    <sheet name="19.2." sheetId="42" r:id="rId15"/>
    <sheet name="19.3" sheetId="35" r:id="rId16"/>
    <sheet name="19. 4." sheetId="36" r:id="rId17"/>
    <sheet name="19.5." sheetId="37" r:id="rId18"/>
    <sheet name="19. 6." sheetId="38" r:id="rId19"/>
    <sheet name="19.7." sheetId="39" r:id="rId20"/>
    <sheet name="19. 8." sheetId="40" r:id="rId21"/>
    <sheet name="20. mell." sheetId="50" r:id="rId22"/>
    <sheet name="21. mell. " sheetId="51" r:id="rId23"/>
    <sheet name="22.-24. mell. " sheetId="52" r:id="rId24"/>
    <sheet name="25. mell." sheetId="11" r:id="rId25"/>
    <sheet name="26. mell. " sheetId="66" r:id="rId26"/>
    <sheet name="27. mell." sheetId="8" r:id="rId27"/>
    <sheet name="28. mell." sheetId="59" r:id="rId28"/>
    <sheet name="29 mell. " sheetId="54" r:id="rId29"/>
    <sheet name="30. mell." sheetId="53" r:id="rId30"/>
  </sheets>
  <definedNames>
    <definedName name="_xlnm._FilterDatabase" localSheetId="4" hidden="1">'12.1 -12.2 melléklet önk.,ph'!$A$1:$CD$454</definedName>
    <definedName name="_xlnm._FilterDatabase" localSheetId="5" hidden="1">'12.3 -12.4.mell.'!#REF!</definedName>
    <definedName name="_xlnm._FilterDatabase" localSheetId="7" hidden="1">'13.2-3. melléklet intézmény'!#REF!</definedName>
    <definedName name="_xlnm._FilterDatabase" localSheetId="28" hidden="1">'29 mell. '!$L$1:$L$17</definedName>
    <definedName name="_xlnm._FilterDatabase" localSheetId="29" hidden="1">'30. mell.'!#REF!</definedName>
    <definedName name="_xlnm.Print_Titles" localSheetId="4">'12.1 -12.2 melléklet önk.,ph'!$1:$3</definedName>
    <definedName name="_xlnm.Print_Titles" localSheetId="6">'13.1 melléklet önk'!$1:$3</definedName>
    <definedName name="_xlnm.Print_Titles" localSheetId="28">'29 mell. '!$1:$1</definedName>
    <definedName name="_xlnm.Print_Titles" localSheetId="29">'30. mell.'!$1:$1</definedName>
    <definedName name="_xlnm.Print_Area" localSheetId="0">'10.1.-10.9.'!$A$1:$M$113</definedName>
    <definedName name="_xlnm.Print_Area" localSheetId="4">'12.1 -12.2 melléklet önk.,ph'!$A$1:$CD$468</definedName>
    <definedName name="_xlnm.Print_Area" localSheetId="5">'12.3 -12.4.mell.'!$A$1:$AG$101</definedName>
    <definedName name="_xlnm.Print_Area" localSheetId="6">'13.1 melléklet önk'!$A$1:$CD$43</definedName>
    <definedName name="_xlnm.Print_Area" localSheetId="7">'13.2-3. melléklet intézmény'!$A$1:$AG$40</definedName>
    <definedName name="_xlnm.Print_Area" localSheetId="25">'26. mell. '!$A$1:$AC$155</definedName>
  </definedNames>
  <calcPr calcId="145621"/>
</workbook>
</file>

<file path=xl/calcChain.xml><?xml version="1.0" encoding="utf-8"?>
<calcChain xmlns="http://schemas.openxmlformats.org/spreadsheetml/2006/main">
  <c r="J155" i="66" l="1"/>
  <c r="I155" i="66"/>
  <c r="H155" i="66"/>
  <c r="G155" i="66"/>
  <c r="F155" i="66"/>
  <c r="E155" i="66"/>
  <c r="D155" i="66"/>
  <c r="C155" i="66"/>
  <c r="B155" i="66"/>
  <c r="Q130" i="66"/>
  <c r="J130" i="66"/>
  <c r="D130" i="66"/>
  <c r="W129" i="66"/>
  <c r="W130" i="66" s="1"/>
  <c r="T129" i="66"/>
  <c r="T130" i="66" s="1"/>
  <c r="R129" i="66"/>
  <c r="P129" i="66"/>
  <c r="G129" i="66"/>
  <c r="C129" i="66"/>
  <c r="P128" i="66"/>
  <c r="C128" i="66"/>
  <c r="P127" i="66"/>
  <c r="C127" i="66"/>
  <c r="U126" i="66"/>
  <c r="R126" i="66"/>
  <c r="C19" i="66" s="1"/>
  <c r="P126" i="66"/>
  <c r="C126" i="66"/>
  <c r="P125" i="66"/>
  <c r="C125" i="66"/>
  <c r="P124" i="66"/>
  <c r="C124" i="66"/>
  <c r="P123" i="66"/>
  <c r="C123" i="66"/>
  <c r="P122" i="66"/>
  <c r="C122" i="66"/>
  <c r="P121" i="66"/>
  <c r="C121" i="66"/>
  <c r="V120" i="66"/>
  <c r="V130" i="66" s="1"/>
  <c r="U120" i="66"/>
  <c r="U130" i="66" s="1"/>
  <c r="S120" i="66"/>
  <c r="S130" i="66" s="1"/>
  <c r="R120" i="66"/>
  <c r="R130" i="66" s="1"/>
  <c r="P120" i="66"/>
  <c r="B13" i="66" s="1"/>
  <c r="X13" i="66" s="1"/>
  <c r="C120" i="66"/>
  <c r="P119" i="66"/>
  <c r="I119" i="66"/>
  <c r="I130" i="66" s="1"/>
  <c r="H119" i="66"/>
  <c r="D12" i="66" s="1"/>
  <c r="Z12" i="66" s="1"/>
  <c r="F119" i="66"/>
  <c r="F130" i="66" s="1"/>
  <c r="E119" i="66"/>
  <c r="E130" i="66" s="1"/>
  <c r="C119" i="66"/>
  <c r="P118" i="66"/>
  <c r="P130" i="66" s="1"/>
  <c r="O118" i="66"/>
  <c r="O130" i="66" s="1"/>
  <c r="B118" i="66"/>
  <c r="B130" i="66" s="1"/>
  <c r="W111" i="66"/>
  <c r="Q111" i="66"/>
  <c r="G111" i="66"/>
  <c r="D111" i="66"/>
  <c r="V110" i="66"/>
  <c r="T110" i="66"/>
  <c r="T111" i="66" s="1"/>
  <c r="S110" i="66"/>
  <c r="R110" i="66"/>
  <c r="P110" i="66"/>
  <c r="J110" i="66"/>
  <c r="G22" i="66" s="1"/>
  <c r="AC22" i="66" s="1"/>
  <c r="H110" i="66"/>
  <c r="G110" i="66"/>
  <c r="E110" i="66"/>
  <c r="C110" i="66"/>
  <c r="B22" i="66" s="1"/>
  <c r="X22" i="66" s="1"/>
  <c r="P109" i="66"/>
  <c r="C109" i="66"/>
  <c r="P108" i="66"/>
  <c r="C108" i="66"/>
  <c r="P107" i="66"/>
  <c r="C107" i="66"/>
  <c r="P106" i="66"/>
  <c r="C106" i="66"/>
  <c r="P105" i="66"/>
  <c r="C105" i="66"/>
  <c r="P104" i="66"/>
  <c r="C104" i="66"/>
  <c r="P103" i="66"/>
  <c r="C103" i="66"/>
  <c r="P102" i="66"/>
  <c r="C102" i="66"/>
  <c r="B14" i="66" s="1"/>
  <c r="X14" i="66" s="1"/>
  <c r="V101" i="66"/>
  <c r="U101" i="66"/>
  <c r="U111" i="66" s="1"/>
  <c r="S101" i="66"/>
  <c r="R101" i="66"/>
  <c r="P101" i="66"/>
  <c r="I101" i="66"/>
  <c r="I111" i="66" s="1"/>
  <c r="H101" i="66"/>
  <c r="F101" i="66"/>
  <c r="F111" i="66" s="1"/>
  <c r="E101" i="66"/>
  <c r="C101" i="66"/>
  <c r="P100" i="66"/>
  <c r="C100" i="66"/>
  <c r="B12" i="66" s="1"/>
  <c r="X12" i="66" s="1"/>
  <c r="P99" i="66"/>
  <c r="O99" i="66"/>
  <c r="O111" i="66" s="1"/>
  <c r="B99" i="66"/>
  <c r="C99" i="66" s="1"/>
  <c r="W92" i="66"/>
  <c r="J92" i="66"/>
  <c r="I92" i="66"/>
  <c r="H92" i="66"/>
  <c r="G92" i="66"/>
  <c r="F92" i="66"/>
  <c r="E92" i="66"/>
  <c r="B92" i="66"/>
  <c r="W91" i="66"/>
  <c r="U91" i="66"/>
  <c r="T91" i="66"/>
  <c r="T92" i="66" s="1"/>
  <c r="R91" i="66"/>
  <c r="P91" i="66"/>
  <c r="P90" i="66"/>
  <c r="B21" i="66" s="1"/>
  <c r="X21" i="66" s="1"/>
  <c r="P89" i="66"/>
  <c r="P88" i="66"/>
  <c r="P87" i="66"/>
  <c r="P86" i="66"/>
  <c r="B17" i="66" s="1"/>
  <c r="X17" i="66" s="1"/>
  <c r="P85" i="66"/>
  <c r="P84" i="66"/>
  <c r="Q83" i="66"/>
  <c r="Q92" i="66" s="1"/>
  <c r="P83" i="66"/>
  <c r="V82" i="66"/>
  <c r="V92" i="66" s="1"/>
  <c r="U82" i="66"/>
  <c r="S82" i="66"/>
  <c r="S92" i="66" s="1"/>
  <c r="R82" i="66"/>
  <c r="P82" i="66"/>
  <c r="P81" i="66"/>
  <c r="O80" i="66"/>
  <c r="P80" i="66" s="1"/>
  <c r="D80" i="66"/>
  <c r="D92" i="66" s="1"/>
  <c r="C80" i="66"/>
  <c r="C92" i="66" s="1"/>
  <c r="W47" i="66"/>
  <c r="V47" i="66"/>
  <c r="T47" i="66"/>
  <c r="S47" i="66"/>
  <c r="R47" i="66"/>
  <c r="P47" i="66"/>
  <c r="O47" i="66"/>
  <c r="N47" i="66"/>
  <c r="M47" i="66"/>
  <c r="L47" i="66"/>
  <c r="K47" i="66"/>
  <c r="J47" i="66"/>
  <c r="I47" i="66"/>
  <c r="H47" i="66"/>
  <c r="G47" i="66"/>
  <c r="F47" i="66"/>
  <c r="D47" i="66"/>
  <c r="C47" i="66"/>
  <c r="AC46" i="66"/>
  <c r="AB46" i="66"/>
  <c r="Z46" i="66"/>
  <c r="Y46" i="66"/>
  <c r="X46" i="66"/>
  <c r="E46" i="66"/>
  <c r="E22" i="66" s="1"/>
  <c r="AC45" i="66"/>
  <c r="AB45" i="66"/>
  <c r="Z45" i="66"/>
  <c r="Y45" i="66"/>
  <c r="X45" i="66"/>
  <c r="E45" i="66"/>
  <c r="AA45" i="66" s="1"/>
  <c r="AC44" i="66"/>
  <c r="AB44" i="66"/>
  <c r="Z44" i="66"/>
  <c r="Y44" i="66"/>
  <c r="X44" i="66"/>
  <c r="E44" i="66"/>
  <c r="AA44" i="66" s="1"/>
  <c r="AI43" i="66"/>
  <c r="AH43" i="66"/>
  <c r="AF43" i="66"/>
  <c r="AC43" i="66"/>
  <c r="AB43" i="66"/>
  <c r="Z43" i="66"/>
  <c r="Y43" i="66"/>
  <c r="Q43" i="66"/>
  <c r="Q19" i="66" s="1"/>
  <c r="E43" i="66"/>
  <c r="B43" i="66"/>
  <c r="B19" i="66" s="1"/>
  <c r="X19" i="66" s="1"/>
  <c r="AI42" i="66"/>
  <c r="AH42" i="66"/>
  <c r="AF42" i="66"/>
  <c r="AC42" i="66"/>
  <c r="AB42" i="66"/>
  <c r="Z42" i="66"/>
  <c r="Y42" i="66"/>
  <c r="X42" i="66"/>
  <c r="E42" i="66"/>
  <c r="AA42" i="66" s="1"/>
  <c r="AI41" i="66"/>
  <c r="AH41" i="66"/>
  <c r="AC41" i="66"/>
  <c r="AB41" i="66"/>
  <c r="Z41" i="66"/>
  <c r="Y41" i="66"/>
  <c r="X41" i="66"/>
  <c r="Q41" i="66"/>
  <c r="AA41" i="66" s="1"/>
  <c r="E41" i="66"/>
  <c r="AI40" i="66"/>
  <c r="AJ40" i="66" s="1"/>
  <c r="AH40" i="66"/>
  <c r="AG40" i="66"/>
  <c r="AE40" i="66"/>
  <c r="AC40" i="66"/>
  <c r="AB40" i="66"/>
  <c r="Z40" i="66"/>
  <c r="Y40" i="66"/>
  <c r="X40" i="66"/>
  <c r="Q40" i="66"/>
  <c r="Q16" i="66" s="1"/>
  <c r="E40" i="66"/>
  <c r="AJ39" i="66"/>
  <c r="AG39" i="66"/>
  <c r="AH39" i="66" s="1"/>
  <c r="AF39" i="66"/>
  <c r="AE39" i="66"/>
  <c r="AC39" i="66"/>
  <c r="AB39" i="66"/>
  <c r="Z39" i="66"/>
  <c r="Y39" i="66"/>
  <c r="X39" i="66"/>
  <c r="E39" i="66"/>
  <c r="E15" i="66" s="1"/>
  <c r="AJ38" i="66"/>
  <c r="AG38" i="66"/>
  <c r="AH38" i="66" s="1"/>
  <c r="AE38" i="66"/>
  <c r="AF38" i="66" s="1"/>
  <c r="AC38" i="66"/>
  <c r="AB38" i="66"/>
  <c r="Z38" i="66"/>
  <c r="Y38" i="66"/>
  <c r="X38" i="66"/>
  <c r="E38" i="66"/>
  <c r="AG37" i="66"/>
  <c r="AE37" i="66"/>
  <c r="AF35" i="66" s="1"/>
  <c r="AC37" i="66"/>
  <c r="AB37" i="66"/>
  <c r="Z37" i="66"/>
  <c r="Q37" i="66"/>
  <c r="E37" i="66"/>
  <c r="C37" i="66"/>
  <c r="Y37" i="66" s="1"/>
  <c r="B37" i="66"/>
  <c r="X37" i="66" s="1"/>
  <c r="AC36" i="66"/>
  <c r="AB36" i="66"/>
  <c r="AA36" i="66"/>
  <c r="Z36" i="66"/>
  <c r="Y36" i="66"/>
  <c r="X36" i="66"/>
  <c r="AC35" i="66"/>
  <c r="AB35" i="66"/>
  <c r="Z35" i="66"/>
  <c r="Y35" i="66"/>
  <c r="X35" i="66"/>
  <c r="U35" i="66"/>
  <c r="U47" i="66" s="1"/>
  <c r="Q35" i="66"/>
  <c r="Q47" i="66" s="1"/>
  <c r="E35" i="66"/>
  <c r="W23" i="66"/>
  <c r="S23" i="66"/>
  <c r="P23" i="66"/>
  <c r="M23" i="66"/>
  <c r="J23" i="66"/>
  <c r="V22" i="66"/>
  <c r="U22" i="66"/>
  <c r="T22" i="66"/>
  <c r="R22" i="66"/>
  <c r="Q22" i="66"/>
  <c r="O22" i="66"/>
  <c r="N22" i="66"/>
  <c r="L22" i="66"/>
  <c r="K22" i="66"/>
  <c r="I22" i="66"/>
  <c r="H22" i="66"/>
  <c r="C22" i="66"/>
  <c r="Y22" i="66" s="1"/>
  <c r="V21" i="66"/>
  <c r="U21" i="66"/>
  <c r="T21" i="66"/>
  <c r="R21" i="66"/>
  <c r="Q21" i="66"/>
  <c r="O21" i="66"/>
  <c r="N21" i="66"/>
  <c r="L21" i="66"/>
  <c r="K21" i="66"/>
  <c r="I21" i="66"/>
  <c r="H21" i="66"/>
  <c r="G21" i="66"/>
  <c r="AC21" i="66" s="1"/>
  <c r="F21" i="66"/>
  <c r="AB21" i="66" s="1"/>
  <c r="E21" i="66"/>
  <c r="D21" i="66"/>
  <c r="Z21" i="66" s="1"/>
  <c r="C21" i="66"/>
  <c r="AC20" i="66"/>
  <c r="V20" i="66"/>
  <c r="U20" i="66"/>
  <c r="T20" i="66"/>
  <c r="R20" i="66"/>
  <c r="Q20" i="66"/>
  <c r="O20" i="66"/>
  <c r="N20" i="66"/>
  <c r="L20" i="66"/>
  <c r="K20" i="66"/>
  <c r="I20" i="66"/>
  <c r="H20" i="66"/>
  <c r="G20" i="66"/>
  <c r="F20" i="66"/>
  <c r="E20" i="66"/>
  <c r="AA20" i="66" s="1"/>
  <c r="D20" i="66"/>
  <c r="Z20" i="66" s="1"/>
  <c r="C20" i="66"/>
  <c r="V19" i="66"/>
  <c r="U19" i="66"/>
  <c r="T19" i="66"/>
  <c r="R19" i="66"/>
  <c r="O19" i="66"/>
  <c r="N19" i="66"/>
  <c r="L19" i="66"/>
  <c r="K19" i="66"/>
  <c r="I19" i="66"/>
  <c r="H19" i="66"/>
  <c r="G19" i="66"/>
  <c r="AC19" i="66" s="1"/>
  <c r="F19" i="66"/>
  <c r="E19" i="66"/>
  <c r="D19" i="66"/>
  <c r="Z19" i="66" s="1"/>
  <c r="V18" i="66"/>
  <c r="U18" i="66"/>
  <c r="T18" i="66"/>
  <c r="R18" i="66"/>
  <c r="Q18" i="66"/>
  <c r="O18" i="66"/>
  <c r="N18" i="66"/>
  <c r="L18" i="66"/>
  <c r="K18" i="66"/>
  <c r="AA18" i="66" s="1"/>
  <c r="I18" i="66"/>
  <c r="H18" i="66"/>
  <c r="G18" i="66"/>
  <c r="AC18" i="66" s="1"/>
  <c r="F18" i="66"/>
  <c r="E18" i="66"/>
  <c r="D18" i="66"/>
  <c r="Z18" i="66" s="1"/>
  <c r="C18" i="66"/>
  <c r="Y18" i="66" s="1"/>
  <c r="B18" i="66"/>
  <c r="X18" i="66" s="1"/>
  <c r="V17" i="66"/>
  <c r="U17" i="66"/>
  <c r="T17" i="66"/>
  <c r="R17" i="66"/>
  <c r="Q17" i="66"/>
  <c r="O17" i="66"/>
  <c r="N17" i="66"/>
  <c r="L17" i="66"/>
  <c r="K17" i="66"/>
  <c r="I17" i="66"/>
  <c r="H17" i="66"/>
  <c r="G17" i="66"/>
  <c r="AC17" i="66" s="1"/>
  <c r="F17" i="66"/>
  <c r="E17" i="66"/>
  <c r="D17" i="66"/>
  <c r="Z17" i="66" s="1"/>
  <c r="C17" i="66"/>
  <c r="Z16" i="66"/>
  <c r="V16" i="66"/>
  <c r="U16" i="66"/>
  <c r="T16" i="66"/>
  <c r="R16" i="66"/>
  <c r="O16" i="66"/>
  <c r="N16" i="66"/>
  <c r="L16" i="66"/>
  <c r="K16" i="66"/>
  <c r="I16" i="66"/>
  <c r="H16" i="66"/>
  <c r="G16" i="66"/>
  <c r="AC16" i="66" s="1"/>
  <c r="F16" i="66"/>
  <c r="E16" i="66"/>
  <c r="D16" i="66"/>
  <c r="C16" i="66"/>
  <c r="AC15" i="66"/>
  <c r="V15" i="66"/>
  <c r="U15" i="66"/>
  <c r="T15" i="66"/>
  <c r="R15" i="66"/>
  <c r="Q15" i="66"/>
  <c r="O15" i="66"/>
  <c r="Y15" i="66" s="1"/>
  <c r="N15" i="66"/>
  <c r="L15" i="66"/>
  <c r="K15" i="66"/>
  <c r="I15" i="66"/>
  <c r="H15" i="66"/>
  <c r="G15" i="66"/>
  <c r="F15" i="66"/>
  <c r="D15" i="66"/>
  <c r="Z15" i="66" s="1"/>
  <c r="C15" i="66"/>
  <c r="V14" i="66"/>
  <c r="U14" i="66"/>
  <c r="T14" i="66"/>
  <c r="R14" i="66"/>
  <c r="Q14" i="66"/>
  <c r="O14" i="66"/>
  <c r="N14" i="66"/>
  <c r="L14" i="66"/>
  <c r="K14" i="66"/>
  <c r="I14" i="66"/>
  <c r="H14" i="66"/>
  <c r="G14" i="66"/>
  <c r="AC14" i="66" s="1"/>
  <c r="F14" i="66"/>
  <c r="D14" i="66"/>
  <c r="Z14" i="66" s="1"/>
  <c r="C14" i="66"/>
  <c r="V13" i="66"/>
  <c r="U13" i="66"/>
  <c r="T13" i="66"/>
  <c r="R13" i="66"/>
  <c r="Q13" i="66"/>
  <c r="O13" i="66"/>
  <c r="N13" i="66"/>
  <c r="L13" i="66"/>
  <c r="K13" i="66"/>
  <c r="I13" i="66"/>
  <c r="H13" i="66"/>
  <c r="G13" i="66"/>
  <c r="AC13" i="66" s="1"/>
  <c r="F13" i="66"/>
  <c r="AB13" i="66" s="1"/>
  <c r="E13" i="66"/>
  <c r="V12" i="66"/>
  <c r="U12" i="66"/>
  <c r="T12" i="66"/>
  <c r="R12" i="66"/>
  <c r="Q12" i="66"/>
  <c r="O12" i="66"/>
  <c r="O23" i="66" s="1"/>
  <c r="N12" i="66"/>
  <c r="L12" i="66"/>
  <c r="K12" i="66"/>
  <c r="I12" i="66"/>
  <c r="H12" i="66"/>
  <c r="G12" i="66"/>
  <c r="AC12" i="66" s="1"/>
  <c r="F12" i="66"/>
  <c r="AB12" i="66" s="1"/>
  <c r="E12" i="66"/>
  <c r="AA12" i="66" s="1"/>
  <c r="Y11" i="66"/>
  <c r="V11" i="66"/>
  <c r="V23" i="66" s="1"/>
  <c r="T11" i="66"/>
  <c r="R11" i="66"/>
  <c r="Q11" i="66"/>
  <c r="O11" i="66"/>
  <c r="N11" i="66"/>
  <c r="L11" i="66"/>
  <c r="K11" i="66"/>
  <c r="I11" i="66"/>
  <c r="H11" i="66"/>
  <c r="G11" i="66"/>
  <c r="AC11" i="66" s="1"/>
  <c r="F11" i="66"/>
  <c r="D11" i="66"/>
  <c r="Z11" i="66" s="1"/>
  <c r="C11" i="66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K15" i="54"/>
  <c r="K7" i="54"/>
  <c r="K2" i="54"/>
  <c r="C15" i="51"/>
  <c r="I20" i="27"/>
  <c r="D40" i="26"/>
  <c r="C40" i="26"/>
  <c r="J73" i="24"/>
  <c r="I73" i="24"/>
  <c r="H73" i="24"/>
  <c r="G73" i="24"/>
  <c r="F73" i="24"/>
  <c r="E73" i="24"/>
  <c r="M106" i="23"/>
  <c r="L106" i="23"/>
  <c r="L99" i="23"/>
  <c r="K99" i="23"/>
  <c r="J113" i="23"/>
  <c r="I113" i="23"/>
  <c r="H113" i="23"/>
  <c r="G113" i="23"/>
  <c r="F113" i="23"/>
  <c r="E113" i="23"/>
  <c r="D113" i="23"/>
  <c r="C113" i="23"/>
  <c r="B113" i="23"/>
  <c r="M112" i="23"/>
  <c r="L112" i="23"/>
  <c r="D80" i="23"/>
  <c r="C80" i="23"/>
  <c r="B80" i="23"/>
  <c r="Y19" i="66" l="1"/>
  <c r="Y21" i="66"/>
  <c r="AB11" i="66"/>
  <c r="R23" i="66"/>
  <c r="K23" i="66"/>
  <c r="AB18" i="66"/>
  <c r="AB47" i="66"/>
  <c r="AA37" i="66"/>
  <c r="P92" i="66"/>
  <c r="C111" i="66"/>
  <c r="H23" i="66"/>
  <c r="N23" i="66"/>
  <c r="T23" i="66"/>
  <c r="L23" i="66"/>
  <c r="AB15" i="66"/>
  <c r="AA16" i="66"/>
  <c r="Y16" i="66"/>
  <c r="AB17" i="66"/>
  <c r="AA17" i="66"/>
  <c r="AB19" i="66"/>
  <c r="AB20" i="66"/>
  <c r="AC47" i="66"/>
  <c r="Z47" i="66"/>
  <c r="AF40" i="66"/>
  <c r="AJ41" i="66"/>
  <c r="AJ43" i="66"/>
  <c r="U92" i="66"/>
  <c r="R92" i="66"/>
  <c r="O92" i="66"/>
  <c r="B15" i="66"/>
  <c r="X15" i="66" s="1"/>
  <c r="R111" i="66"/>
  <c r="B111" i="66"/>
  <c r="J111" i="66"/>
  <c r="F22" i="66"/>
  <c r="AB22" i="66" s="1"/>
  <c r="G23" i="66"/>
  <c r="Y17" i="66"/>
  <c r="Y20" i="66"/>
  <c r="AA21" i="66"/>
  <c r="AA15" i="66"/>
  <c r="I23" i="66"/>
  <c r="U11" i="66"/>
  <c r="U23" i="66" s="1"/>
  <c r="Y14" i="66"/>
  <c r="AB16" i="66"/>
  <c r="E11" i="66"/>
  <c r="Y47" i="66"/>
  <c r="E14" i="66"/>
  <c r="AA14" i="66" s="1"/>
  <c r="AA40" i="66"/>
  <c r="X43" i="66"/>
  <c r="X47" i="66" s="1"/>
  <c r="AA22" i="66"/>
  <c r="B16" i="66"/>
  <c r="X16" i="66" s="1"/>
  <c r="P111" i="66"/>
  <c r="C13" i="66"/>
  <c r="V111" i="66"/>
  <c r="H111" i="66"/>
  <c r="S111" i="66"/>
  <c r="B20" i="66"/>
  <c r="X20" i="66" s="1"/>
  <c r="AA11" i="66"/>
  <c r="AC23" i="66"/>
  <c r="Y23" i="66"/>
  <c r="Q23" i="66"/>
  <c r="Y13" i="66"/>
  <c r="AA19" i="66"/>
  <c r="AA13" i="66"/>
  <c r="AA38" i="66"/>
  <c r="AA39" i="66"/>
  <c r="AA46" i="66"/>
  <c r="AA43" i="66"/>
  <c r="B47" i="66"/>
  <c r="H130" i="66"/>
  <c r="C12" i="66"/>
  <c r="C23" i="66" s="1"/>
  <c r="D13" i="66"/>
  <c r="Z13" i="66" s="1"/>
  <c r="Z23" i="66" s="1"/>
  <c r="AA35" i="66"/>
  <c r="AF41" i="66"/>
  <c r="E47" i="66"/>
  <c r="E111" i="66"/>
  <c r="C118" i="66"/>
  <c r="C130" i="66" s="1"/>
  <c r="G130" i="66"/>
  <c r="AB14" i="66"/>
  <c r="AJ42" i="66"/>
  <c r="Y12" i="66"/>
  <c r="D22" i="66"/>
  <c r="Z22" i="66" s="1"/>
  <c r="D23" i="66" l="1"/>
  <c r="AB23" i="66"/>
  <c r="E23" i="66"/>
  <c r="F23" i="66"/>
  <c r="B11" i="66"/>
  <c r="X11" i="66" s="1"/>
  <c r="X23" i="66" s="1"/>
  <c r="B23" i="66"/>
  <c r="AA47" i="66"/>
  <c r="AA23" i="66"/>
  <c r="AD34" i="65"/>
  <c r="AC34" i="65"/>
  <c r="AB34" i="65"/>
  <c r="AA34" i="65"/>
  <c r="Z34" i="65"/>
  <c r="Y34" i="65"/>
  <c r="O34" i="65"/>
  <c r="L34" i="65"/>
  <c r="I34" i="65"/>
  <c r="F34" i="65"/>
  <c r="AD32" i="65"/>
  <c r="AC32" i="65"/>
  <c r="AB32" i="65"/>
  <c r="AA32" i="65"/>
  <c r="Z32" i="65"/>
  <c r="Y32" i="65"/>
  <c r="AD31" i="65"/>
  <c r="AC31" i="65"/>
  <c r="AB31" i="65"/>
  <c r="AA31" i="65"/>
  <c r="Z31" i="65"/>
  <c r="Y31" i="65"/>
  <c r="AD30" i="65"/>
  <c r="AC30" i="65"/>
  <c r="AB30" i="65"/>
  <c r="AA30" i="65"/>
  <c r="Z30" i="65"/>
  <c r="Y30" i="65"/>
  <c r="AD29" i="65"/>
  <c r="AC29" i="65"/>
  <c r="AB29" i="65"/>
  <c r="AA29" i="65"/>
  <c r="Z29" i="65"/>
  <c r="Y29" i="65"/>
  <c r="AC27" i="65"/>
  <c r="AB27" i="65"/>
  <c r="AB35" i="65" s="1"/>
  <c r="Z27" i="65"/>
  <c r="Z35" i="65" s="1"/>
  <c r="T19" i="65"/>
  <c r="S19" i="65"/>
  <c r="Q19" i="65"/>
  <c r="P19" i="65"/>
  <c r="N19" i="65"/>
  <c r="M19" i="65"/>
  <c r="H19" i="65"/>
  <c r="G19" i="65"/>
  <c r="E19" i="65"/>
  <c r="D19" i="65"/>
  <c r="Z18" i="65"/>
  <c r="AA18" i="65" s="1"/>
  <c r="Y18" i="65"/>
  <c r="W18" i="65"/>
  <c r="V18" i="65"/>
  <c r="U18" i="65"/>
  <c r="U34" i="65" s="1"/>
  <c r="R18" i="65"/>
  <c r="R34" i="65" s="1"/>
  <c r="K18" i="65"/>
  <c r="AC18" i="65" s="1"/>
  <c r="J18" i="65"/>
  <c r="AB18" i="65" s="1"/>
  <c r="Z17" i="65"/>
  <c r="AA17" i="65" s="1"/>
  <c r="Y17" i="65"/>
  <c r="W17" i="65"/>
  <c r="V17" i="65"/>
  <c r="U17" i="65"/>
  <c r="U32" i="65" s="1"/>
  <c r="R17" i="65"/>
  <c r="R32" i="65" s="1"/>
  <c r="O17" i="65"/>
  <c r="O32" i="65" s="1"/>
  <c r="K17" i="65"/>
  <c r="J17" i="65"/>
  <c r="AB17" i="65" s="1"/>
  <c r="I17" i="65"/>
  <c r="I32" i="65" s="1"/>
  <c r="F17" i="65"/>
  <c r="F32" i="65" s="1"/>
  <c r="Z16" i="65"/>
  <c r="Y16" i="65"/>
  <c r="AA16" i="65" s="1"/>
  <c r="W16" i="65"/>
  <c r="V16" i="65"/>
  <c r="U16" i="65"/>
  <c r="R16" i="65"/>
  <c r="O16" i="65"/>
  <c r="K16" i="65"/>
  <c r="AC16" i="65" s="1"/>
  <c r="J16" i="65"/>
  <c r="AB16" i="65" s="1"/>
  <c r="I16" i="65"/>
  <c r="F16" i="65"/>
  <c r="Z15" i="65"/>
  <c r="Y15" i="65"/>
  <c r="AA15" i="65" s="1"/>
  <c r="W15" i="65"/>
  <c r="V15" i="65"/>
  <c r="U15" i="65"/>
  <c r="R15" i="65"/>
  <c r="O15" i="65"/>
  <c r="O31" i="65" s="1"/>
  <c r="K15" i="65"/>
  <c r="AC15" i="65" s="1"/>
  <c r="J15" i="65"/>
  <c r="AB15" i="65" s="1"/>
  <c r="I15" i="65"/>
  <c r="F15" i="65"/>
  <c r="F31" i="65" s="1"/>
  <c r="Z14" i="65"/>
  <c r="Y14" i="65"/>
  <c r="W14" i="65"/>
  <c r="V14" i="65"/>
  <c r="X14" i="65" s="1"/>
  <c r="U14" i="65"/>
  <c r="U30" i="65" s="1"/>
  <c r="R14" i="65"/>
  <c r="R30" i="65" s="1"/>
  <c r="O14" i="65"/>
  <c r="O30" i="65" s="1"/>
  <c r="K14" i="65"/>
  <c r="AC14" i="65" s="1"/>
  <c r="J14" i="65"/>
  <c r="I14" i="65"/>
  <c r="I30" i="65" s="1"/>
  <c r="F14" i="65"/>
  <c r="F30" i="65" s="1"/>
  <c r="AC13" i="65"/>
  <c r="AB13" i="65"/>
  <c r="Z13" i="65"/>
  <c r="Y13" i="65"/>
  <c r="AA13" i="65" s="1"/>
  <c r="W13" i="65"/>
  <c r="V13" i="65"/>
  <c r="U13" i="65"/>
  <c r="R13" i="65"/>
  <c r="O13" i="65"/>
  <c r="L13" i="65"/>
  <c r="AD13" i="65" s="1"/>
  <c r="I13" i="65"/>
  <c r="F13" i="65"/>
  <c r="AC12" i="65"/>
  <c r="AB12" i="65"/>
  <c r="Z12" i="65"/>
  <c r="Y12" i="65"/>
  <c r="AA12" i="65" s="1"/>
  <c r="W12" i="65"/>
  <c r="V12" i="65"/>
  <c r="U12" i="65"/>
  <c r="R12" i="65"/>
  <c r="O12" i="65"/>
  <c r="L12" i="65"/>
  <c r="AD12" i="65" s="1"/>
  <c r="I12" i="65"/>
  <c r="F12" i="65"/>
  <c r="AC11" i="65"/>
  <c r="AB11" i="65"/>
  <c r="Z11" i="65"/>
  <c r="Y11" i="65"/>
  <c r="AA11" i="65" s="1"/>
  <c r="W11" i="65"/>
  <c r="V11" i="65"/>
  <c r="U11" i="65"/>
  <c r="R11" i="65"/>
  <c r="O11" i="65"/>
  <c r="L11" i="65"/>
  <c r="AD11" i="65" s="1"/>
  <c r="I11" i="65"/>
  <c r="F11" i="65"/>
  <c r="AC10" i="65"/>
  <c r="AB10" i="65"/>
  <c r="Z10" i="65"/>
  <c r="Y10" i="65"/>
  <c r="AA10" i="65" s="1"/>
  <c r="W10" i="65"/>
  <c r="V10" i="65"/>
  <c r="U10" i="65"/>
  <c r="R10" i="65"/>
  <c r="O10" i="65"/>
  <c r="L10" i="65"/>
  <c r="AD10" i="65" s="1"/>
  <c r="I10" i="65"/>
  <c r="F10" i="65"/>
  <c r="AC9" i="65"/>
  <c r="AB9" i="65"/>
  <c r="Z9" i="65"/>
  <c r="Y9" i="65"/>
  <c r="AA9" i="65" s="1"/>
  <c r="W9" i="65"/>
  <c r="V9" i="65"/>
  <c r="U9" i="65"/>
  <c r="R9" i="65"/>
  <c r="O9" i="65"/>
  <c r="L9" i="65"/>
  <c r="AD9" i="65" s="1"/>
  <c r="I9" i="65"/>
  <c r="F9" i="65"/>
  <c r="AC8" i="65"/>
  <c r="AB8" i="65"/>
  <c r="Z8" i="65"/>
  <c r="Y8" i="65"/>
  <c r="AA8" i="65" s="1"/>
  <c r="W8" i="65"/>
  <c r="V8" i="65"/>
  <c r="U8" i="65"/>
  <c r="R8" i="65"/>
  <c r="O8" i="65"/>
  <c r="L8" i="65"/>
  <c r="AD8" i="65" s="1"/>
  <c r="I8" i="65"/>
  <c r="F8" i="65"/>
  <c r="AC7" i="65"/>
  <c r="AB7" i="65"/>
  <c r="Z7" i="65"/>
  <c r="Y7" i="65"/>
  <c r="AA7" i="65" s="1"/>
  <c r="W7" i="65"/>
  <c r="V7" i="65"/>
  <c r="U7" i="65"/>
  <c r="R7" i="65"/>
  <c r="O7" i="65"/>
  <c r="L7" i="65"/>
  <c r="AD7" i="65" s="1"/>
  <c r="I7" i="65"/>
  <c r="F7" i="65"/>
  <c r="AC6" i="65"/>
  <c r="AB6" i="65"/>
  <c r="Z6" i="65"/>
  <c r="Y6" i="65"/>
  <c r="AA6" i="65" s="1"/>
  <c r="W6" i="65"/>
  <c r="W19" i="65" s="1"/>
  <c r="V6" i="65"/>
  <c r="U6" i="65"/>
  <c r="U29" i="65" s="1"/>
  <c r="R6" i="65"/>
  <c r="R29" i="65" s="1"/>
  <c r="O6" i="65"/>
  <c r="O29" i="65" s="1"/>
  <c r="L6" i="65"/>
  <c r="L29" i="65" s="1"/>
  <c r="I6" i="65"/>
  <c r="I29" i="65" s="1"/>
  <c r="F6" i="65"/>
  <c r="F29" i="65" s="1"/>
  <c r="CB43" i="64"/>
  <c r="Y27" i="65" s="1"/>
  <c r="Y35" i="65" s="1"/>
  <c r="BY43" i="64"/>
  <c r="BP43" i="64"/>
  <c r="BG43" i="64"/>
  <c r="BF43" i="64"/>
  <c r="BB43" i="64"/>
  <c r="BA43" i="64"/>
  <c r="AZ43" i="64"/>
  <c r="AY43" i="64"/>
  <c r="AX43" i="64"/>
  <c r="AW43" i="64"/>
  <c r="AU43" i="64"/>
  <c r="AT43" i="64"/>
  <c r="AO43" i="64"/>
  <c r="AN43" i="64"/>
  <c r="AI43" i="64"/>
  <c r="AH43" i="64"/>
  <c r="AF43" i="64"/>
  <c r="AE43" i="64"/>
  <c r="AA43" i="64"/>
  <c r="Z43" i="64"/>
  <c r="Y43" i="64"/>
  <c r="X43" i="64"/>
  <c r="W43" i="64"/>
  <c r="V43" i="64"/>
  <c r="H43" i="64"/>
  <c r="G43" i="64"/>
  <c r="CD42" i="64"/>
  <c r="BZ42" i="64"/>
  <c r="BX42" i="64"/>
  <c r="BW42" i="64"/>
  <c r="BV42" i="64"/>
  <c r="BU42" i="64"/>
  <c r="BT42" i="64"/>
  <c r="BS42" i="64"/>
  <c r="BR42" i="64"/>
  <c r="BO42" i="64"/>
  <c r="AG42" i="64"/>
  <c r="AC42" i="64"/>
  <c r="AB42" i="64"/>
  <c r="U42" i="64"/>
  <c r="Q42" i="64"/>
  <c r="P42" i="64"/>
  <c r="O42" i="64"/>
  <c r="K42" i="64"/>
  <c r="J42" i="64"/>
  <c r="I42" i="64"/>
  <c r="BI42" i="64" s="1"/>
  <c r="AG41" i="64"/>
  <c r="AD41" i="64" s="1"/>
  <c r="AC41" i="64"/>
  <c r="AB41" i="64"/>
  <c r="AG40" i="64"/>
  <c r="AD40" i="64" s="1"/>
  <c r="AC40" i="64"/>
  <c r="AB40" i="64"/>
  <c r="U40" i="64"/>
  <c r="R40" i="64" s="1"/>
  <c r="Q40" i="64"/>
  <c r="P40" i="64"/>
  <c r="AG39" i="64"/>
  <c r="AC39" i="64"/>
  <c r="AB39" i="64"/>
  <c r="U39" i="64"/>
  <c r="R39" i="64" s="1"/>
  <c r="Q39" i="64"/>
  <c r="P39" i="64"/>
  <c r="CD38" i="64"/>
  <c r="BZ38" i="64"/>
  <c r="BX38" i="64"/>
  <c r="BW38" i="64"/>
  <c r="BV38" i="64"/>
  <c r="BU38" i="64"/>
  <c r="BT38" i="64"/>
  <c r="BS38" i="64"/>
  <c r="BR38" i="64"/>
  <c r="BO38" i="64"/>
  <c r="BI38" i="64"/>
  <c r="AG38" i="64"/>
  <c r="AC38" i="64"/>
  <c r="AB38" i="64"/>
  <c r="U38" i="64"/>
  <c r="Q38" i="64"/>
  <c r="P38" i="64"/>
  <c r="O38" i="64"/>
  <c r="BK38" i="64" s="1"/>
  <c r="K38" i="64"/>
  <c r="J38" i="64"/>
  <c r="AD37" i="64"/>
  <c r="AC37" i="64"/>
  <c r="AB37" i="64"/>
  <c r="U37" i="64"/>
  <c r="R37" i="64"/>
  <c r="Q37" i="64"/>
  <c r="P37" i="64"/>
  <c r="O37" i="64"/>
  <c r="L37" i="64"/>
  <c r="K37" i="64"/>
  <c r="J37" i="64"/>
  <c r="N36" i="64"/>
  <c r="M36" i="64"/>
  <c r="S36" i="64" s="1"/>
  <c r="AB36" i="64" s="1"/>
  <c r="I36" i="64"/>
  <c r="AC35" i="64"/>
  <c r="AB35" i="64"/>
  <c r="U35" i="64"/>
  <c r="AD35" i="64" s="1"/>
  <c r="Q35" i="64"/>
  <c r="P35" i="64"/>
  <c r="O35" i="64"/>
  <c r="K35" i="64"/>
  <c r="J35" i="64"/>
  <c r="I35" i="64"/>
  <c r="AC34" i="64"/>
  <c r="AB34" i="64"/>
  <c r="U34" i="64"/>
  <c r="AD34" i="64" s="1"/>
  <c r="Q34" i="64"/>
  <c r="P34" i="64"/>
  <c r="O34" i="64"/>
  <c r="K34" i="64"/>
  <c r="J34" i="64"/>
  <c r="I34" i="64"/>
  <c r="AC33" i="64"/>
  <c r="AB33" i="64"/>
  <c r="U33" i="64"/>
  <c r="AD33" i="64" s="1"/>
  <c r="Q33" i="64"/>
  <c r="P33" i="64"/>
  <c r="O33" i="64"/>
  <c r="K33" i="64"/>
  <c r="J33" i="64"/>
  <c r="I33" i="64"/>
  <c r="AC32" i="64"/>
  <c r="AB32" i="64"/>
  <c r="U32" i="64"/>
  <c r="AD32" i="64" s="1"/>
  <c r="Q32" i="64"/>
  <c r="P32" i="64"/>
  <c r="O32" i="64"/>
  <c r="L32" i="64" s="1"/>
  <c r="K32" i="64"/>
  <c r="J32" i="64"/>
  <c r="I32" i="64"/>
  <c r="CD31" i="64"/>
  <c r="CA31" i="64"/>
  <c r="BZ31" i="64"/>
  <c r="BX31" i="64"/>
  <c r="BW31" i="64"/>
  <c r="BV31" i="64"/>
  <c r="BU31" i="64"/>
  <c r="BT31" i="64"/>
  <c r="BS31" i="64"/>
  <c r="BR31" i="64"/>
  <c r="BQ31" i="64"/>
  <c r="BO31" i="64"/>
  <c r="AC31" i="64"/>
  <c r="AB31" i="64"/>
  <c r="U31" i="64"/>
  <c r="Q31" i="64"/>
  <c r="P31" i="64"/>
  <c r="O31" i="64"/>
  <c r="K31" i="64"/>
  <c r="J31" i="64"/>
  <c r="I31" i="64"/>
  <c r="BI31" i="64" s="1"/>
  <c r="AG30" i="64"/>
  <c r="AD30" i="64" s="1"/>
  <c r="AC30" i="64"/>
  <c r="AB30" i="64"/>
  <c r="AG29" i="64"/>
  <c r="AC29" i="64"/>
  <c r="AB29" i="64"/>
  <c r="U29" i="64"/>
  <c r="Q29" i="64"/>
  <c r="P29" i="64"/>
  <c r="O29" i="64"/>
  <c r="L29" i="64" s="1"/>
  <c r="K29" i="64"/>
  <c r="J29" i="64"/>
  <c r="AG28" i="64"/>
  <c r="AC28" i="64"/>
  <c r="AB28" i="64"/>
  <c r="U28" i="64"/>
  <c r="P28" i="64"/>
  <c r="O28" i="64"/>
  <c r="J28" i="64"/>
  <c r="AG27" i="64"/>
  <c r="AC27" i="64"/>
  <c r="AB27" i="64"/>
  <c r="U27" i="64"/>
  <c r="Q27" i="64"/>
  <c r="P27" i="64"/>
  <c r="O27" i="64"/>
  <c r="L27" i="64" s="1"/>
  <c r="K27" i="64"/>
  <c r="J27" i="64"/>
  <c r="AG26" i="64"/>
  <c r="AC26" i="64"/>
  <c r="AB26" i="64"/>
  <c r="U26" i="64"/>
  <c r="Q26" i="64"/>
  <c r="P26" i="64"/>
  <c r="O26" i="64"/>
  <c r="L26" i="64" s="1"/>
  <c r="K26" i="64"/>
  <c r="J26" i="64"/>
  <c r="AG25" i="64"/>
  <c r="AD25" i="64" s="1"/>
  <c r="AC25" i="64"/>
  <c r="AB25" i="64"/>
  <c r="U25" i="64"/>
  <c r="Q25" i="64"/>
  <c r="P25" i="64"/>
  <c r="O25" i="64"/>
  <c r="K25" i="64"/>
  <c r="J25" i="64"/>
  <c r="I25" i="64"/>
  <c r="AG24" i="64"/>
  <c r="AC24" i="64"/>
  <c r="AB24" i="64"/>
  <c r="U24" i="64"/>
  <c r="Q24" i="64"/>
  <c r="P24" i="64"/>
  <c r="O24" i="64"/>
  <c r="L24" i="64" s="1"/>
  <c r="K24" i="64"/>
  <c r="J24" i="64"/>
  <c r="I24" i="64"/>
  <c r="CD23" i="64"/>
  <c r="BZ23" i="64"/>
  <c r="BX23" i="64"/>
  <c r="BW23" i="64"/>
  <c r="BV23" i="64"/>
  <c r="BU23" i="64"/>
  <c r="BT23" i="64"/>
  <c r="BS23" i="64"/>
  <c r="BR23" i="64"/>
  <c r="BO23" i="64"/>
  <c r="AG23" i="64"/>
  <c r="AC23" i="64"/>
  <c r="AB23" i="64"/>
  <c r="U23" i="64"/>
  <c r="Q23" i="64"/>
  <c r="P23" i="64"/>
  <c r="O23" i="64"/>
  <c r="K23" i="64"/>
  <c r="J23" i="64"/>
  <c r="I23" i="64"/>
  <c r="BI23" i="64" s="1"/>
  <c r="AG22" i="64"/>
  <c r="AC22" i="64"/>
  <c r="AB22" i="64"/>
  <c r="U22" i="64"/>
  <c r="R22" i="64" s="1"/>
  <c r="Q22" i="64"/>
  <c r="P22" i="64"/>
  <c r="O22" i="64"/>
  <c r="L22" i="64" s="1"/>
  <c r="K22" i="64"/>
  <c r="J22" i="64"/>
  <c r="CD21" i="64"/>
  <c r="BZ21" i="64"/>
  <c r="BX21" i="64"/>
  <c r="BW21" i="64"/>
  <c r="BV21" i="64"/>
  <c r="BU21" i="64"/>
  <c r="BT21" i="64"/>
  <c r="BS21" i="64"/>
  <c r="BR21" i="64"/>
  <c r="BO21" i="64"/>
  <c r="AG21" i="64"/>
  <c r="BQ21" i="64" s="1"/>
  <c r="CA21" i="64" s="1"/>
  <c r="N21" i="64"/>
  <c r="M21" i="64"/>
  <c r="K21" i="64"/>
  <c r="I21" i="64"/>
  <c r="I43" i="64" s="1"/>
  <c r="AG20" i="64"/>
  <c r="AD20" i="64"/>
  <c r="AC20" i="64"/>
  <c r="AB20" i="64"/>
  <c r="U20" i="64"/>
  <c r="R20" i="64"/>
  <c r="Q20" i="64"/>
  <c r="P20" i="64"/>
  <c r="O20" i="64"/>
  <c r="L20" i="64"/>
  <c r="K20" i="64"/>
  <c r="J20" i="64"/>
  <c r="CD19" i="64"/>
  <c r="BZ19" i="64"/>
  <c r="BX19" i="64"/>
  <c r="BR19" i="64"/>
  <c r="BO19" i="64"/>
  <c r="BI19" i="64"/>
  <c r="AG19" i="64"/>
  <c r="AC19" i="64"/>
  <c r="AB19" i="64"/>
  <c r="BH18" i="64"/>
  <c r="BE18" i="64" s="1"/>
  <c r="BD18" i="64"/>
  <c r="BC18" i="64"/>
  <c r="BH17" i="64"/>
  <c r="BE17" i="64" s="1"/>
  <c r="BD17" i="64"/>
  <c r="BC17" i="64"/>
  <c r="BH16" i="64"/>
  <c r="BE16" i="64" s="1"/>
  <c r="BD16" i="64"/>
  <c r="BC16" i="64"/>
  <c r="BH15" i="64"/>
  <c r="BD15" i="64"/>
  <c r="BC15" i="64"/>
  <c r="AV15" i="64"/>
  <c r="AR15" i="64"/>
  <c r="AQ15" i="64"/>
  <c r="AP15" i="64"/>
  <c r="AL15" i="64"/>
  <c r="AK15" i="64"/>
  <c r="AJ15" i="64"/>
  <c r="CD14" i="64"/>
  <c r="BX14" i="64"/>
  <c r="BQ14" i="64"/>
  <c r="BO14" i="64"/>
  <c r="BN14" i="64"/>
  <c r="BM14" i="64"/>
  <c r="BL14" i="64"/>
  <c r="BK14" i="64"/>
  <c r="BJ14" i="64"/>
  <c r="BI14" i="64"/>
  <c r="BH14" i="64"/>
  <c r="BD14" i="64"/>
  <c r="BC14" i="64"/>
  <c r="AV14" i="64"/>
  <c r="AR14" i="64"/>
  <c r="AQ14" i="64"/>
  <c r="AP14" i="64"/>
  <c r="AL14" i="64"/>
  <c r="AK14" i="64"/>
  <c r="AJ14" i="64"/>
  <c r="BR14" i="64" s="1"/>
  <c r="BD13" i="64"/>
  <c r="BC13" i="64"/>
  <c r="AV13" i="64"/>
  <c r="BE13" i="64" s="1"/>
  <c r="AR13" i="64"/>
  <c r="AQ13" i="64"/>
  <c r="AP13" i="64"/>
  <c r="AM13" i="64" s="1"/>
  <c r="AL13" i="64"/>
  <c r="AK13" i="64"/>
  <c r="BH12" i="64"/>
  <c r="BE12" i="64" s="1"/>
  <c r="BD12" i="64"/>
  <c r="BC12" i="64"/>
  <c r="BH11" i="64"/>
  <c r="BE11" i="64" s="1"/>
  <c r="BD11" i="64"/>
  <c r="BC11" i="64"/>
  <c r="BH10" i="64"/>
  <c r="BE10" i="64" s="1"/>
  <c r="BD10" i="64"/>
  <c r="BC10" i="64"/>
  <c r="AV10" i="64"/>
  <c r="AS10" i="64" s="1"/>
  <c r="AR10" i="64"/>
  <c r="AQ10" i="64"/>
  <c r="BH9" i="64"/>
  <c r="BD9" i="64"/>
  <c r="BC9" i="64"/>
  <c r="AV9" i="64"/>
  <c r="AS9" i="64" s="1"/>
  <c r="AR9" i="64"/>
  <c r="AQ9" i="64"/>
  <c r="BH8" i="64"/>
  <c r="BE8" i="64" s="1"/>
  <c r="BD8" i="64"/>
  <c r="BC8" i="64"/>
  <c r="AV8" i="64"/>
  <c r="AS8" i="64" s="1"/>
  <c r="AR8" i="64"/>
  <c r="AQ8" i="64"/>
  <c r="AP8" i="64"/>
  <c r="AM8" i="64" s="1"/>
  <c r="AL8" i="64"/>
  <c r="AK8" i="64"/>
  <c r="BH7" i="64"/>
  <c r="BE7" i="64" s="1"/>
  <c r="BD7" i="64"/>
  <c r="BC7" i="64"/>
  <c r="AV7" i="64"/>
  <c r="AS7" i="64" s="1"/>
  <c r="AR7" i="64"/>
  <c r="AQ7" i="64"/>
  <c r="AP7" i="64"/>
  <c r="AM7" i="64" s="1"/>
  <c r="AL7" i="64"/>
  <c r="AK7" i="64"/>
  <c r="BH6" i="64"/>
  <c r="BD6" i="64"/>
  <c r="BC6" i="64"/>
  <c r="AV6" i="64"/>
  <c r="AS6" i="64" s="1"/>
  <c r="AR6" i="64"/>
  <c r="AQ6" i="64"/>
  <c r="AP6" i="64"/>
  <c r="AM6" i="64" s="1"/>
  <c r="AL6" i="64"/>
  <c r="AK6" i="64"/>
  <c r="BH5" i="64"/>
  <c r="BD5" i="64"/>
  <c r="BC5" i="64"/>
  <c r="AV5" i="64"/>
  <c r="AR5" i="64"/>
  <c r="AQ5" i="64"/>
  <c r="AP5" i="64"/>
  <c r="AP43" i="64" s="1"/>
  <c r="AL5" i="64"/>
  <c r="AK5" i="64"/>
  <c r="CD4" i="64"/>
  <c r="BZ4" i="64"/>
  <c r="BX4" i="64"/>
  <c r="BQ4" i="64"/>
  <c r="BO4" i="64"/>
  <c r="BN4" i="64"/>
  <c r="BM4" i="64"/>
  <c r="BL4" i="64"/>
  <c r="BK4" i="64"/>
  <c r="BJ4" i="64"/>
  <c r="BI4" i="64"/>
  <c r="BE4" i="64"/>
  <c r="BD4" i="64"/>
  <c r="BC4" i="64"/>
  <c r="BC43" i="64" s="1"/>
  <c r="AS4" i="64"/>
  <c r="AR4" i="64"/>
  <c r="AQ4" i="64"/>
  <c r="AM4" i="64"/>
  <c r="AL4" i="64"/>
  <c r="AK4" i="64"/>
  <c r="AJ4" i="64"/>
  <c r="AD98" i="63"/>
  <c r="R98" i="63"/>
  <c r="Q98" i="63"/>
  <c r="P98" i="63"/>
  <c r="O98" i="63"/>
  <c r="N98" i="63"/>
  <c r="M98" i="63"/>
  <c r="L98" i="63"/>
  <c r="F98" i="63"/>
  <c r="AD97" i="63"/>
  <c r="T97" i="63"/>
  <c r="S97" i="63"/>
  <c r="N97" i="63"/>
  <c r="M97" i="63"/>
  <c r="AD96" i="63"/>
  <c r="T96" i="63"/>
  <c r="S96" i="63"/>
  <c r="N96" i="63"/>
  <c r="M96" i="63"/>
  <c r="AD95" i="63"/>
  <c r="T95" i="63"/>
  <c r="S95" i="63"/>
  <c r="N95" i="63"/>
  <c r="M95" i="63"/>
  <c r="AD94" i="63"/>
  <c r="T94" i="63"/>
  <c r="S94" i="63"/>
  <c r="N94" i="63"/>
  <c r="M94" i="63"/>
  <c r="AD93" i="63"/>
  <c r="N76" i="63"/>
  <c r="M76" i="63"/>
  <c r="E76" i="63"/>
  <c r="W76" i="63" s="1"/>
  <c r="D76" i="63"/>
  <c r="X75" i="63"/>
  <c r="W75" i="63"/>
  <c r="V75" i="63"/>
  <c r="T75" i="63"/>
  <c r="T98" i="63" s="1"/>
  <c r="S75" i="63"/>
  <c r="S98" i="63" s="1"/>
  <c r="W74" i="63"/>
  <c r="V74" i="63"/>
  <c r="U74" i="63"/>
  <c r="Q74" i="63"/>
  <c r="Z74" i="63" s="1"/>
  <c r="P74" i="63"/>
  <c r="R74" i="63" s="1"/>
  <c r="O74" i="63"/>
  <c r="L74" i="63"/>
  <c r="I74" i="63"/>
  <c r="F74" i="63"/>
  <c r="W73" i="63"/>
  <c r="V73" i="63"/>
  <c r="U73" i="63"/>
  <c r="Q73" i="63"/>
  <c r="Z73" i="63" s="1"/>
  <c r="P73" i="63"/>
  <c r="Y73" i="63" s="1"/>
  <c r="AA73" i="63" s="1"/>
  <c r="O73" i="63"/>
  <c r="W72" i="63"/>
  <c r="V72" i="63"/>
  <c r="U72" i="63"/>
  <c r="U97" i="63" s="1"/>
  <c r="Q72" i="63"/>
  <c r="P72" i="63"/>
  <c r="O72" i="63"/>
  <c r="L72" i="63"/>
  <c r="L97" i="63" s="1"/>
  <c r="X97" i="63" s="1"/>
  <c r="I72" i="63"/>
  <c r="F72" i="63"/>
  <c r="W71" i="63"/>
  <c r="V71" i="63"/>
  <c r="U71" i="63"/>
  <c r="Q71" i="63"/>
  <c r="Z71" i="63" s="1"/>
  <c r="P71" i="63"/>
  <c r="O71" i="63"/>
  <c r="L71" i="63"/>
  <c r="I71" i="63"/>
  <c r="F71" i="63"/>
  <c r="W70" i="63"/>
  <c r="V70" i="63"/>
  <c r="U70" i="63"/>
  <c r="Q70" i="63"/>
  <c r="Z70" i="63" s="1"/>
  <c r="P70" i="63"/>
  <c r="Y70" i="63" s="1"/>
  <c r="O70" i="63"/>
  <c r="L70" i="63"/>
  <c r="I70" i="63"/>
  <c r="F70" i="63"/>
  <c r="W69" i="63"/>
  <c r="V69" i="63"/>
  <c r="U69" i="63"/>
  <c r="U96" i="63" s="1"/>
  <c r="Q69" i="63"/>
  <c r="P69" i="63"/>
  <c r="O69" i="63"/>
  <c r="L69" i="63"/>
  <c r="L96" i="63" s="1"/>
  <c r="X96" i="63" s="1"/>
  <c r="I69" i="63"/>
  <c r="F69" i="63"/>
  <c r="W68" i="63"/>
  <c r="V68" i="63"/>
  <c r="U68" i="63"/>
  <c r="Q68" i="63"/>
  <c r="Z68" i="63" s="1"/>
  <c r="P68" i="63"/>
  <c r="O68" i="63"/>
  <c r="L68" i="63"/>
  <c r="I68" i="63"/>
  <c r="F68" i="63"/>
  <c r="W67" i="63"/>
  <c r="V67" i="63"/>
  <c r="U67" i="63"/>
  <c r="Q67" i="63"/>
  <c r="Z67" i="63" s="1"/>
  <c r="P67" i="63"/>
  <c r="O67" i="63"/>
  <c r="L67" i="63"/>
  <c r="I67" i="63"/>
  <c r="F67" i="63"/>
  <c r="W66" i="63"/>
  <c r="V66" i="63"/>
  <c r="U66" i="63"/>
  <c r="Q66" i="63"/>
  <c r="Z66" i="63" s="1"/>
  <c r="P66" i="63"/>
  <c r="O66" i="63"/>
  <c r="L66" i="63"/>
  <c r="I66" i="63"/>
  <c r="F66" i="63"/>
  <c r="W65" i="63"/>
  <c r="V65" i="63"/>
  <c r="U65" i="63"/>
  <c r="Q65" i="63"/>
  <c r="P65" i="63"/>
  <c r="P95" i="63" s="1"/>
  <c r="O65" i="63"/>
  <c r="L65" i="63"/>
  <c r="I65" i="63"/>
  <c r="F65" i="63"/>
  <c r="F95" i="63" s="1"/>
  <c r="W64" i="63"/>
  <c r="V64" i="63"/>
  <c r="U64" i="63"/>
  <c r="Q64" i="63"/>
  <c r="Z64" i="63" s="1"/>
  <c r="P64" i="63"/>
  <c r="O64" i="63"/>
  <c r="L64" i="63"/>
  <c r="I64" i="63"/>
  <c r="F64" i="63"/>
  <c r="W63" i="63"/>
  <c r="V63" i="63"/>
  <c r="U63" i="63"/>
  <c r="U94" i="63" s="1"/>
  <c r="Q63" i="63"/>
  <c r="P63" i="63"/>
  <c r="O63" i="63"/>
  <c r="L63" i="63"/>
  <c r="L94" i="63" s="1"/>
  <c r="X94" i="63" s="1"/>
  <c r="I63" i="63"/>
  <c r="F63" i="63"/>
  <c r="W62" i="63"/>
  <c r="V62" i="63"/>
  <c r="AB62" i="63" s="1"/>
  <c r="U62" i="63"/>
  <c r="Q62" i="63"/>
  <c r="P62" i="63"/>
  <c r="O62" i="63"/>
  <c r="L62" i="63"/>
  <c r="H62" i="63"/>
  <c r="Z62" i="63" s="1"/>
  <c r="G62" i="63"/>
  <c r="Y62" i="63" s="1"/>
  <c r="F62" i="63"/>
  <c r="W61" i="63"/>
  <c r="V61" i="63"/>
  <c r="U61" i="63"/>
  <c r="Q61" i="63"/>
  <c r="P61" i="63"/>
  <c r="O61" i="63"/>
  <c r="L61" i="63"/>
  <c r="H61" i="63"/>
  <c r="Z61" i="63" s="1"/>
  <c r="G61" i="63"/>
  <c r="Y61" i="63" s="1"/>
  <c r="F61" i="63"/>
  <c r="W60" i="63"/>
  <c r="V60" i="63"/>
  <c r="AB60" i="63" s="1"/>
  <c r="U60" i="63"/>
  <c r="Q60" i="63"/>
  <c r="P60" i="63"/>
  <c r="O60" i="63"/>
  <c r="L60" i="63"/>
  <c r="H60" i="63"/>
  <c r="Z60" i="63" s="1"/>
  <c r="G60" i="63"/>
  <c r="Y60" i="63" s="1"/>
  <c r="F60" i="63"/>
  <c r="W59" i="63"/>
  <c r="V59" i="63"/>
  <c r="U59" i="63"/>
  <c r="Q59" i="63"/>
  <c r="P59" i="63"/>
  <c r="O59" i="63"/>
  <c r="L59" i="63"/>
  <c r="H59" i="63"/>
  <c r="Z59" i="63" s="1"/>
  <c r="G59" i="63"/>
  <c r="Y59" i="63" s="1"/>
  <c r="F59" i="63"/>
  <c r="W58" i="63"/>
  <c r="V58" i="63"/>
  <c r="AB58" i="63" s="1"/>
  <c r="U58" i="63"/>
  <c r="Q58" i="63"/>
  <c r="P58" i="63"/>
  <c r="O58" i="63"/>
  <c r="L58" i="63"/>
  <c r="H58" i="63"/>
  <c r="Z58" i="63" s="1"/>
  <c r="G58" i="63"/>
  <c r="Y58" i="63" s="1"/>
  <c r="F58" i="63"/>
  <c r="W57" i="63"/>
  <c r="V57" i="63"/>
  <c r="U57" i="63"/>
  <c r="Q57" i="63"/>
  <c r="P57" i="63"/>
  <c r="O57" i="63"/>
  <c r="L57" i="63"/>
  <c r="H57" i="63"/>
  <c r="Z57" i="63" s="1"/>
  <c r="G57" i="63"/>
  <c r="Y57" i="63" s="1"/>
  <c r="F57" i="63"/>
  <c r="W56" i="63"/>
  <c r="V56" i="63"/>
  <c r="AB56" i="63" s="1"/>
  <c r="U56" i="63"/>
  <c r="Q56" i="63"/>
  <c r="P56" i="63"/>
  <c r="O56" i="63"/>
  <c r="L56" i="63"/>
  <c r="H56" i="63"/>
  <c r="Z56" i="63" s="1"/>
  <c r="G56" i="63"/>
  <c r="Y56" i="63" s="1"/>
  <c r="F56" i="63"/>
  <c r="W55" i="63"/>
  <c r="V55" i="63"/>
  <c r="T55" i="63"/>
  <c r="T76" i="63" s="1"/>
  <c r="S55" i="63"/>
  <c r="Q55" i="63"/>
  <c r="O55" i="63"/>
  <c r="L55" i="63"/>
  <c r="H55" i="63"/>
  <c r="Z55" i="63" s="1"/>
  <c r="G55" i="63"/>
  <c r="F55" i="63"/>
  <c r="W54" i="63"/>
  <c r="AC54" i="63" s="1"/>
  <c r="V54" i="63"/>
  <c r="U54" i="63"/>
  <c r="Q54" i="63"/>
  <c r="P54" i="63"/>
  <c r="R54" i="63" s="1"/>
  <c r="O54" i="63"/>
  <c r="L54" i="63"/>
  <c r="H54" i="63"/>
  <c r="Z54" i="63" s="1"/>
  <c r="G54" i="63"/>
  <c r="Y54" i="63" s="1"/>
  <c r="AA54" i="63" s="1"/>
  <c r="F54" i="63"/>
  <c r="W53" i="63"/>
  <c r="V53" i="63"/>
  <c r="U53" i="63"/>
  <c r="Q53" i="63"/>
  <c r="P53" i="63"/>
  <c r="O53" i="63"/>
  <c r="L53" i="63"/>
  <c r="H53" i="63"/>
  <c r="Z53" i="63" s="1"/>
  <c r="G53" i="63"/>
  <c r="Y53" i="63" s="1"/>
  <c r="F53" i="63"/>
  <c r="W52" i="63"/>
  <c r="V52" i="63"/>
  <c r="U52" i="63"/>
  <c r="Q52" i="63"/>
  <c r="P52" i="63"/>
  <c r="R52" i="63" s="1"/>
  <c r="O52" i="63"/>
  <c r="K52" i="63"/>
  <c r="K76" i="63" s="1"/>
  <c r="J52" i="63"/>
  <c r="J76" i="63" s="1"/>
  <c r="H52" i="63"/>
  <c r="Z52" i="63" s="1"/>
  <c r="G52" i="63"/>
  <c r="Y52" i="63" s="1"/>
  <c r="F52" i="63"/>
  <c r="W51" i="63"/>
  <c r="V51" i="63"/>
  <c r="AB51" i="63" s="1"/>
  <c r="U51" i="63"/>
  <c r="Q51" i="63"/>
  <c r="P51" i="63"/>
  <c r="O51" i="63"/>
  <c r="L51" i="63"/>
  <c r="H51" i="63"/>
  <c r="Z51" i="63" s="1"/>
  <c r="G51" i="63"/>
  <c r="Y51" i="63" s="1"/>
  <c r="F51" i="63"/>
  <c r="W50" i="63"/>
  <c r="V50" i="63"/>
  <c r="U50" i="63"/>
  <c r="Q50" i="63"/>
  <c r="P50" i="63"/>
  <c r="R50" i="63" s="1"/>
  <c r="O50" i="63"/>
  <c r="L50" i="63"/>
  <c r="H50" i="63"/>
  <c r="Z50" i="63" s="1"/>
  <c r="G50" i="63"/>
  <c r="Y50" i="63" s="1"/>
  <c r="F50" i="63"/>
  <c r="W49" i="63"/>
  <c r="V49" i="63"/>
  <c r="AB49" i="63" s="1"/>
  <c r="U49" i="63"/>
  <c r="Q49" i="63"/>
  <c r="P49" i="63"/>
  <c r="R49" i="63" s="1"/>
  <c r="O49" i="63"/>
  <c r="L49" i="63"/>
  <c r="H49" i="63"/>
  <c r="Z49" i="63" s="1"/>
  <c r="G49" i="63"/>
  <c r="Y49" i="63" s="1"/>
  <c r="F49" i="63"/>
  <c r="W48" i="63"/>
  <c r="V48" i="63"/>
  <c r="U48" i="63"/>
  <c r="Q48" i="63"/>
  <c r="P48" i="63"/>
  <c r="R48" i="63" s="1"/>
  <c r="O48" i="63"/>
  <c r="L48" i="63"/>
  <c r="H48" i="63"/>
  <c r="Z48" i="63" s="1"/>
  <c r="G48" i="63"/>
  <c r="Y48" i="63" s="1"/>
  <c r="F48" i="63"/>
  <c r="W47" i="63"/>
  <c r="V47" i="63"/>
  <c r="AB47" i="63" s="1"/>
  <c r="U47" i="63"/>
  <c r="Q47" i="63"/>
  <c r="P47" i="63"/>
  <c r="R47" i="63" s="1"/>
  <c r="O47" i="63"/>
  <c r="L47" i="63"/>
  <c r="H47" i="63"/>
  <c r="Z47" i="63" s="1"/>
  <c r="G47" i="63"/>
  <c r="Y47" i="63" s="1"/>
  <c r="F47" i="63"/>
  <c r="W46" i="63"/>
  <c r="V46" i="63"/>
  <c r="U46" i="63"/>
  <c r="Q46" i="63"/>
  <c r="P46" i="63"/>
  <c r="R46" i="63" s="1"/>
  <c r="O46" i="63"/>
  <c r="L46" i="63"/>
  <c r="H46" i="63"/>
  <c r="Z46" i="63" s="1"/>
  <c r="G46" i="63"/>
  <c r="Y46" i="63" s="1"/>
  <c r="F46" i="63"/>
  <c r="W45" i="63"/>
  <c r="V45" i="63"/>
  <c r="AB45" i="63" s="1"/>
  <c r="U45" i="63"/>
  <c r="Q45" i="63"/>
  <c r="P45" i="63"/>
  <c r="R45" i="63" s="1"/>
  <c r="O45" i="63"/>
  <c r="L45" i="63"/>
  <c r="H45" i="63"/>
  <c r="Z45" i="63" s="1"/>
  <c r="G45" i="63"/>
  <c r="Y45" i="63" s="1"/>
  <c r="F45" i="63"/>
  <c r="W44" i="63"/>
  <c r="V44" i="63"/>
  <c r="U44" i="63"/>
  <c r="Q44" i="63"/>
  <c r="P44" i="63"/>
  <c r="R44" i="63" s="1"/>
  <c r="O44" i="63"/>
  <c r="L44" i="63"/>
  <c r="H44" i="63"/>
  <c r="Z44" i="63" s="1"/>
  <c r="G44" i="63"/>
  <c r="Y44" i="63" s="1"/>
  <c r="F44" i="63"/>
  <c r="W43" i="63"/>
  <c r="V43" i="63"/>
  <c r="AB43" i="63" s="1"/>
  <c r="U43" i="63"/>
  <c r="Q43" i="63"/>
  <c r="P43" i="63"/>
  <c r="R43" i="63" s="1"/>
  <c r="O43" i="63"/>
  <c r="L43" i="63"/>
  <c r="H43" i="63"/>
  <c r="Z43" i="63" s="1"/>
  <c r="G43" i="63"/>
  <c r="Y43" i="63" s="1"/>
  <c r="F43" i="63"/>
  <c r="W42" i="63"/>
  <c r="V42" i="63"/>
  <c r="U42" i="63"/>
  <c r="Q42" i="63"/>
  <c r="P42" i="63"/>
  <c r="R42" i="63" s="1"/>
  <c r="O42" i="63"/>
  <c r="L42" i="63"/>
  <c r="H42" i="63"/>
  <c r="Z42" i="63" s="1"/>
  <c r="G42" i="63"/>
  <c r="Y42" i="63" s="1"/>
  <c r="F42" i="63"/>
  <c r="W41" i="63"/>
  <c r="V41" i="63"/>
  <c r="AB41" i="63" s="1"/>
  <c r="U41" i="63"/>
  <c r="Q41" i="63"/>
  <c r="P41" i="63"/>
  <c r="R41" i="63" s="1"/>
  <c r="O41" i="63"/>
  <c r="L41" i="63"/>
  <c r="H41" i="63"/>
  <c r="Z41" i="63" s="1"/>
  <c r="G41" i="63"/>
  <c r="Y41" i="63" s="1"/>
  <c r="F41" i="63"/>
  <c r="W40" i="63"/>
  <c r="V40" i="63"/>
  <c r="U40" i="63"/>
  <c r="Q40" i="63"/>
  <c r="P40" i="63"/>
  <c r="R40" i="63" s="1"/>
  <c r="O40" i="63"/>
  <c r="L40" i="63"/>
  <c r="H40" i="63"/>
  <c r="Z40" i="63" s="1"/>
  <c r="G40" i="63"/>
  <c r="Y40" i="63" s="1"/>
  <c r="F40" i="63"/>
  <c r="W39" i="63"/>
  <c r="V39" i="63"/>
  <c r="AB39" i="63" s="1"/>
  <c r="U39" i="63"/>
  <c r="Q39" i="63"/>
  <c r="P39" i="63"/>
  <c r="R39" i="63" s="1"/>
  <c r="O39" i="63"/>
  <c r="L39" i="63"/>
  <c r="H39" i="63"/>
  <c r="Z39" i="63" s="1"/>
  <c r="G39" i="63"/>
  <c r="Y39" i="63" s="1"/>
  <c r="F39" i="63"/>
  <c r="W38" i="63"/>
  <c r="V38" i="63"/>
  <c r="U38" i="63"/>
  <c r="Q38" i="63"/>
  <c r="P38" i="63"/>
  <c r="R38" i="63" s="1"/>
  <c r="O38" i="63"/>
  <c r="L38" i="63"/>
  <c r="H38" i="63"/>
  <c r="Z38" i="63" s="1"/>
  <c r="G38" i="63"/>
  <c r="Y38" i="63" s="1"/>
  <c r="F38" i="63"/>
  <c r="W37" i="63"/>
  <c r="V37" i="63"/>
  <c r="U37" i="63"/>
  <c r="Q37" i="63"/>
  <c r="P37" i="63"/>
  <c r="R37" i="63" s="1"/>
  <c r="O37" i="63"/>
  <c r="L37" i="63"/>
  <c r="H37" i="63"/>
  <c r="Z37" i="63" s="1"/>
  <c r="G37" i="63"/>
  <c r="Y37" i="63" s="1"/>
  <c r="F37" i="63"/>
  <c r="W36" i="63"/>
  <c r="V36" i="63"/>
  <c r="U36" i="63"/>
  <c r="Q36" i="63"/>
  <c r="P36" i="63"/>
  <c r="R36" i="63" s="1"/>
  <c r="O36" i="63"/>
  <c r="L36" i="63"/>
  <c r="H36" i="63"/>
  <c r="Z36" i="63" s="1"/>
  <c r="G36" i="63"/>
  <c r="Y36" i="63" s="1"/>
  <c r="AA36" i="63" s="1"/>
  <c r="F36" i="63"/>
  <c r="W35" i="63"/>
  <c r="V35" i="63"/>
  <c r="U35" i="63"/>
  <c r="Q35" i="63"/>
  <c r="P35" i="63"/>
  <c r="R35" i="63" s="1"/>
  <c r="O35" i="63"/>
  <c r="L35" i="63"/>
  <c r="H35" i="63"/>
  <c r="Z35" i="63" s="1"/>
  <c r="G35" i="63"/>
  <c r="Y35" i="63" s="1"/>
  <c r="AA35" i="63" s="1"/>
  <c r="F35" i="63"/>
  <c r="W34" i="63"/>
  <c r="V34" i="63"/>
  <c r="U34" i="63"/>
  <c r="Q34" i="63"/>
  <c r="P34" i="63"/>
  <c r="R34" i="63" s="1"/>
  <c r="O34" i="63"/>
  <c r="L34" i="63"/>
  <c r="H34" i="63"/>
  <c r="Z34" i="63" s="1"/>
  <c r="G34" i="63"/>
  <c r="Y34" i="63" s="1"/>
  <c r="AA34" i="63" s="1"/>
  <c r="F34" i="63"/>
  <c r="W33" i="63"/>
  <c r="AC33" i="63" s="1"/>
  <c r="V33" i="63"/>
  <c r="U33" i="63"/>
  <c r="Q33" i="63"/>
  <c r="P33" i="63"/>
  <c r="R33" i="63" s="1"/>
  <c r="O33" i="63"/>
  <c r="L33" i="63"/>
  <c r="H33" i="63"/>
  <c r="Z33" i="63" s="1"/>
  <c r="G33" i="63"/>
  <c r="Y33" i="63" s="1"/>
  <c r="AA33" i="63" s="1"/>
  <c r="F33" i="63"/>
  <c r="W32" i="63"/>
  <c r="AC32" i="63" s="1"/>
  <c r="V32" i="63"/>
  <c r="U32" i="63"/>
  <c r="Q32" i="63"/>
  <c r="P32" i="63"/>
  <c r="R32" i="63" s="1"/>
  <c r="O32" i="63"/>
  <c r="L32" i="63"/>
  <c r="H32" i="63"/>
  <c r="Z32" i="63" s="1"/>
  <c r="G32" i="63"/>
  <c r="Y32" i="63" s="1"/>
  <c r="AA32" i="63" s="1"/>
  <c r="F32" i="63"/>
  <c r="W31" i="63"/>
  <c r="AC31" i="63" s="1"/>
  <c r="V31" i="63"/>
  <c r="U31" i="63"/>
  <c r="Q31" i="63"/>
  <c r="P31" i="63"/>
  <c r="R31" i="63" s="1"/>
  <c r="O31" i="63"/>
  <c r="L31" i="63"/>
  <c r="H31" i="63"/>
  <c r="Z31" i="63" s="1"/>
  <c r="G31" i="63"/>
  <c r="Y31" i="63" s="1"/>
  <c r="AA31" i="63" s="1"/>
  <c r="F31" i="63"/>
  <c r="W30" i="63"/>
  <c r="AC30" i="63" s="1"/>
  <c r="V30" i="63"/>
  <c r="U30" i="63"/>
  <c r="Q30" i="63"/>
  <c r="P30" i="63"/>
  <c r="R30" i="63" s="1"/>
  <c r="O30" i="63"/>
  <c r="L30" i="63"/>
  <c r="H30" i="63"/>
  <c r="Z30" i="63" s="1"/>
  <c r="G30" i="63"/>
  <c r="Y30" i="63" s="1"/>
  <c r="AA30" i="63" s="1"/>
  <c r="F30" i="63"/>
  <c r="W29" i="63"/>
  <c r="AC29" i="63" s="1"/>
  <c r="V29" i="63"/>
  <c r="U29" i="63"/>
  <c r="Q29" i="63"/>
  <c r="P29" i="63"/>
  <c r="R29" i="63" s="1"/>
  <c r="O29" i="63"/>
  <c r="L29" i="63"/>
  <c r="H29" i="63"/>
  <c r="Z29" i="63" s="1"/>
  <c r="G29" i="63"/>
  <c r="Y29" i="63" s="1"/>
  <c r="AA29" i="63" s="1"/>
  <c r="F29" i="63"/>
  <c r="W28" i="63"/>
  <c r="AC28" i="63" s="1"/>
  <c r="V28" i="63"/>
  <c r="U28" i="63"/>
  <c r="Q28" i="63"/>
  <c r="P28" i="63"/>
  <c r="R28" i="63" s="1"/>
  <c r="O28" i="63"/>
  <c r="L28" i="63"/>
  <c r="H28" i="63"/>
  <c r="Z28" i="63" s="1"/>
  <c r="G28" i="63"/>
  <c r="Y28" i="63" s="1"/>
  <c r="AA28" i="63" s="1"/>
  <c r="F28" i="63"/>
  <c r="W27" i="63"/>
  <c r="AC27" i="63" s="1"/>
  <c r="V27" i="63"/>
  <c r="U27" i="63"/>
  <c r="Q27" i="63"/>
  <c r="P27" i="63"/>
  <c r="R27" i="63" s="1"/>
  <c r="O27" i="63"/>
  <c r="L27" i="63"/>
  <c r="H27" i="63"/>
  <c r="Z27" i="63" s="1"/>
  <c r="G27" i="63"/>
  <c r="Y27" i="63" s="1"/>
  <c r="AA27" i="63" s="1"/>
  <c r="F27" i="63"/>
  <c r="W26" i="63"/>
  <c r="AC26" i="63" s="1"/>
  <c r="V26" i="63"/>
  <c r="U26" i="63"/>
  <c r="Q26" i="63"/>
  <c r="P26" i="63"/>
  <c r="R26" i="63" s="1"/>
  <c r="O26" i="63"/>
  <c r="L26" i="63"/>
  <c r="H26" i="63"/>
  <c r="Z26" i="63" s="1"/>
  <c r="G26" i="63"/>
  <c r="Y26" i="63" s="1"/>
  <c r="AA26" i="63" s="1"/>
  <c r="F26" i="63"/>
  <c r="W25" i="63"/>
  <c r="AC25" i="63" s="1"/>
  <c r="V25" i="63"/>
  <c r="U25" i="63"/>
  <c r="Q25" i="63"/>
  <c r="P25" i="63"/>
  <c r="R25" i="63" s="1"/>
  <c r="O25" i="63"/>
  <c r="L25" i="63"/>
  <c r="H25" i="63"/>
  <c r="Z25" i="63" s="1"/>
  <c r="G25" i="63"/>
  <c r="Y25" i="63" s="1"/>
  <c r="AA25" i="63" s="1"/>
  <c r="F25" i="63"/>
  <c r="W24" i="63"/>
  <c r="AC24" i="63" s="1"/>
  <c r="V24" i="63"/>
  <c r="U24" i="63"/>
  <c r="Q24" i="63"/>
  <c r="P24" i="63"/>
  <c r="R24" i="63" s="1"/>
  <c r="O24" i="63"/>
  <c r="L24" i="63"/>
  <c r="H24" i="63"/>
  <c r="Z24" i="63" s="1"/>
  <c r="G24" i="63"/>
  <c r="Y24" i="63" s="1"/>
  <c r="AA24" i="63" s="1"/>
  <c r="F24" i="63"/>
  <c r="W23" i="63"/>
  <c r="AC23" i="63" s="1"/>
  <c r="V23" i="63"/>
  <c r="U23" i="63"/>
  <c r="Q23" i="63"/>
  <c r="P23" i="63"/>
  <c r="R23" i="63" s="1"/>
  <c r="O23" i="63"/>
  <c r="L23" i="63"/>
  <c r="H23" i="63"/>
  <c r="Z23" i="63" s="1"/>
  <c r="G23" i="63"/>
  <c r="Y23" i="63" s="1"/>
  <c r="AA23" i="63" s="1"/>
  <c r="F23" i="63"/>
  <c r="W22" i="63"/>
  <c r="AC22" i="63" s="1"/>
  <c r="V22" i="63"/>
  <c r="U22" i="63"/>
  <c r="Q22" i="63"/>
  <c r="P22" i="63"/>
  <c r="R22" i="63" s="1"/>
  <c r="O22" i="63"/>
  <c r="L22" i="63"/>
  <c r="H22" i="63"/>
  <c r="Z22" i="63" s="1"/>
  <c r="G22" i="63"/>
  <c r="Y22" i="63" s="1"/>
  <c r="AA22" i="63" s="1"/>
  <c r="F22" i="63"/>
  <c r="W21" i="63"/>
  <c r="AC21" i="63" s="1"/>
  <c r="V21" i="63"/>
  <c r="U21" i="63"/>
  <c r="Q21" i="63"/>
  <c r="P21" i="63"/>
  <c r="R21" i="63" s="1"/>
  <c r="O21" i="63"/>
  <c r="L21" i="63"/>
  <c r="H21" i="63"/>
  <c r="Z21" i="63" s="1"/>
  <c r="G21" i="63"/>
  <c r="Y21" i="63" s="1"/>
  <c r="AA21" i="63" s="1"/>
  <c r="F21" i="63"/>
  <c r="W20" i="63"/>
  <c r="AC20" i="63" s="1"/>
  <c r="V20" i="63"/>
  <c r="U20" i="63"/>
  <c r="Q20" i="63"/>
  <c r="P20" i="63"/>
  <c r="R20" i="63" s="1"/>
  <c r="O20" i="63"/>
  <c r="L20" i="63"/>
  <c r="H20" i="63"/>
  <c r="Z20" i="63" s="1"/>
  <c r="G20" i="63"/>
  <c r="Y20" i="63" s="1"/>
  <c r="AA20" i="63" s="1"/>
  <c r="F20" i="63"/>
  <c r="W19" i="63"/>
  <c r="AC19" i="63" s="1"/>
  <c r="V19" i="63"/>
  <c r="U19" i="63"/>
  <c r="Q19" i="63"/>
  <c r="P19" i="63"/>
  <c r="R19" i="63" s="1"/>
  <c r="O19" i="63"/>
  <c r="L19" i="63"/>
  <c r="H19" i="63"/>
  <c r="Z19" i="63" s="1"/>
  <c r="G19" i="63"/>
  <c r="Y19" i="63" s="1"/>
  <c r="AA19" i="63" s="1"/>
  <c r="F19" i="63"/>
  <c r="W18" i="63"/>
  <c r="AC18" i="63" s="1"/>
  <c r="V18" i="63"/>
  <c r="U18" i="63"/>
  <c r="Q18" i="63"/>
  <c r="P18" i="63"/>
  <c r="R18" i="63" s="1"/>
  <c r="O18" i="63"/>
  <c r="L18" i="63"/>
  <c r="H18" i="63"/>
  <c r="Z18" i="63" s="1"/>
  <c r="G18" i="63"/>
  <c r="Y18" i="63" s="1"/>
  <c r="AA18" i="63" s="1"/>
  <c r="F18" i="63"/>
  <c r="W17" i="63"/>
  <c r="AC17" i="63" s="1"/>
  <c r="V17" i="63"/>
  <c r="U17" i="63"/>
  <c r="Q17" i="63"/>
  <c r="P17" i="63"/>
  <c r="R17" i="63" s="1"/>
  <c r="O17" i="63"/>
  <c r="L17" i="63"/>
  <c r="H17" i="63"/>
  <c r="Z17" i="63" s="1"/>
  <c r="G17" i="63"/>
  <c r="Y17" i="63" s="1"/>
  <c r="AA17" i="63" s="1"/>
  <c r="F17" i="63"/>
  <c r="W16" i="63"/>
  <c r="AC16" i="63" s="1"/>
  <c r="V16" i="63"/>
  <c r="U16" i="63"/>
  <c r="Q16" i="63"/>
  <c r="P16" i="63"/>
  <c r="R16" i="63" s="1"/>
  <c r="O16" i="63"/>
  <c r="L16" i="63"/>
  <c r="H16" i="63"/>
  <c r="Z16" i="63" s="1"/>
  <c r="G16" i="63"/>
  <c r="Y16" i="63" s="1"/>
  <c r="AA16" i="63" s="1"/>
  <c r="F16" i="63"/>
  <c r="W15" i="63"/>
  <c r="AC15" i="63" s="1"/>
  <c r="V15" i="63"/>
  <c r="U15" i="63"/>
  <c r="Q15" i="63"/>
  <c r="P15" i="63"/>
  <c r="R15" i="63" s="1"/>
  <c r="O15" i="63"/>
  <c r="L15" i="63"/>
  <c r="H15" i="63"/>
  <c r="Z15" i="63" s="1"/>
  <c r="G15" i="63"/>
  <c r="Y15" i="63" s="1"/>
  <c r="AA15" i="63" s="1"/>
  <c r="F15" i="63"/>
  <c r="W14" i="63"/>
  <c r="V14" i="63"/>
  <c r="U14" i="63"/>
  <c r="Q14" i="63"/>
  <c r="P14" i="63"/>
  <c r="R14" i="63" s="1"/>
  <c r="O14" i="63"/>
  <c r="L14" i="63"/>
  <c r="H14" i="63"/>
  <c r="Z14" i="63" s="1"/>
  <c r="G14" i="63"/>
  <c r="F14" i="63"/>
  <c r="W13" i="63"/>
  <c r="AC13" i="63" s="1"/>
  <c r="V13" i="63"/>
  <c r="U13" i="63"/>
  <c r="Q13" i="63"/>
  <c r="P13" i="63"/>
  <c r="R13" i="63" s="1"/>
  <c r="O13" i="63"/>
  <c r="L13" i="63"/>
  <c r="H13" i="63"/>
  <c r="Z13" i="63" s="1"/>
  <c r="G13" i="63"/>
  <c r="Y13" i="63" s="1"/>
  <c r="AA13" i="63" s="1"/>
  <c r="F13" i="63"/>
  <c r="W12" i="63"/>
  <c r="AC12" i="63" s="1"/>
  <c r="V12" i="63"/>
  <c r="U12" i="63"/>
  <c r="Q12" i="63"/>
  <c r="P12" i="63"/>
  <c r="R12" i="63" s="1"/>
  <c r="O12" i="63"/>
  <c r="L12" i="63"/>
  <c r="H12" i="63"/>
  <c r="Z12" i="63" s="1"/>
  <c r="G12" i="63"/>
  <c r="Y12" i="63" s="1"/>
  <c r="AA12" i="63" s="1"/>
  <c r="F12" i="63"/>
  <c r="W11" i="63"/>
  <c r="AC11" i="63" s="1"/>
  <c r="V11" i="63"/>
  <c r="U11" i="63"/>
  <c r="Q11" i="63"/>
  <c r="P11" i="63"/>
  <c r="R11" i="63" s="1"/>
  <c r="O11" i="63"/>
  <c r="L11" i="63"/>
  <c r="H11" i="63"/>
  <c r="Z11" i="63" s="1"/>
  <c r="G11" i="63"/>
  <c r="Y11" i="63" s="1"/>
  <c r="AA11" i="63" s="1"/>
  <c r="F11" i="63"/>
  <c r="W10" i="63"/>
  <c r="AC10" i="63" s="1"/>
  <c r="V10" i="63"/>
  <c r="U10" i="63"/>
  <c r="Q10" i="63"/>
  <c r="P10" i="63"/>
  <c r="R10" i="63" s="1"/>
  <c r="O10" i="63"/>
  <c r="L10" i="63"/>
  <c r="H10" i="63"/>
  <c r="Z10" i="63" s="1"/>
  <c r="G10" i="63"/>
  <c r="Y10" i="63" s="1"/>
  <c r="AA10" i="63" s="1"/>
  <c r="F10" i="63"/>
  <c r="W9" i="63"/>
  <c r="AC9" i="63" s="1"/>
  <c r="V9" i="63"/>
  <c r="U9" i="63"/>
  <c r="Q9" i="63"/>
  <c r="P9" i="63"/>
  <c r="R9" i="63" s="1"/>
  <c r="O9" i="63"/>
  <c r="L9" i="63"/>
  <c r="H9" i="63"/>
  <c r="Z9" i="63" s="1"/>
  <c r="G9" i="63"/>
  <c r="Y9" i="63" s="1"/>
  <c r="AA9" i="63" s="1"/>
  <c r="F9" i="63"/>
  <c r="W8" i="63"/>
  <c r="AC8" i="63" s="1"/>
  <c r="V8" i="63"/>
  <c r="U8" i="63"/>
  <c r="Q8" i="63"/>
  <c r="P8" i="63"/>
  <c r="R8" i="63" s="1"/>
  <c r="O8" i="63"/>
  <c r="L8" i="63"/>
  <c r="H8" i="63"/>
  <c r="Z8" i="63" s="1"/>
  <c r="G8" i="63"/>
  <c r="Y8" i="63" s="1"/>
  <c r="AA8" i="63" s="1"/>
  <c r="F8" i="63"/>
  <c r="W7" i="63"/>
  <c r="AC7" i="63" s="1"/>
  <c r="V7" i="63"/>
  <c r="U7" i="63"/>
  <c r="Q7" i="63"/>
  <c r="P7" i="63"/>
  <c r="R7" i="63" s="1"/>
  <c r="O7" i="63"/>
  <c r="L7" i="63"/>
  <c r="H7" i="63"/>
  <c r="Z7" i="63" s="1"/>
  <c r="G7" i="63"/>
  <c r="Y7" i="63" s="1"/>
  <c r="AA7" i="63" s="1"/>
  <c r="F7" i="63"/>
  <c r="W6" i="63"/>
  <c r="AC6" i="63" s="1"/>
  <c r="V6" i="63"/>
  <c r="U6" i="63"/>
  <c r="Q6" i="63"/>
  <c r="P6" i="63"/>
  <c r="R6" i="63" s="1"/>
  <c r="O6" i="63"/>
  <c r="L6" i="63"/>
  <c r="H6" i="63"/>
  <c r="Z6" i="63" s="1"/>
  <c r="G6" i="63"/>
  <c r="Y6" i="63" s="1"/>
  <c r="AA6" i="63" s="1"/>
  <c r="F6" i="63"/>
  <c r="W5" i="63"/>
  <c r="AC5" i="63" s="1"/>
  <c r="V5" i="63"/>
  <c r="U5" i="63"/>
  <c r="Q5" i="63"/>
  <c r="P5" i="63"/>
  <c r="R5" i="63" s="1"/>
  <c r="O5" i="63"/>
  <c r="L5" i="63"/>
  <c r="H5" i="63"/>
  <c r="Z5" i="63" s="1"/>
  <c r="G5" i="63"/>
  <c r="Y5" i="63" s="1"/>
  <c r="AA5" i="63" s="1"/>
  <c r="F5" i="63"/>
  <c r="W4" i="63"/>
  <c r="V4" i="63"/>
  <c r="U4" i="63"/>
  <c r="Q4" i="63"/>
  <c r="P4" i="63"/>
  <c r="O4" i="63"/>
  <c r="L4" i="63"/>
  <c r="H4" i="63"/>
  <c r="G4" i="63"/>
  <c r="F4" i="63"/>
  <c r="CC468" i="62"/>
  <c r="CB468" i="62"/>
  <c r="BP468" i="62"/>
  <c r="BG468" i="62"/>
  <c r="BF468" i="62"/>
  <c r="BB468" i="62"/>
  <c r="BA468" i="62"/>
  <c r="AZ468" i="62"/>
  <c r="AY468" i="62"/>
  <c r="AX468" i="62"/>
  <c r="AW468" i="62"/>
  <c r="AV468" i="62"/>
  <c r="AU468" i="62"/>
  <c r="AT468" i="62"/>
  <c r="AS468" i="62"/>
  <c r="AR468" i="62"/>
  <c r="AQ468" i="62"/>
  <c r="AP468" i="62"/>
  <c r="AO468" i="62"/>
  <c r="AN468" i="62"/>
  <c r="AM468" i="62"/>
  <c r="AL468" i="62"/>
  <c r="AK468" i="62"/>
  <c r="AJ468" i="62"/>
  <c r="AI468" i="62"/>
  <c r="AH468" i="62"/>
  <c r="AG468" i="62"/>
  <c r="AF468" i="62"/>
  <c r="AE468" i="62"/>
  <c r="AA468" i="62"/>
  <c r="Z468" i="62"/>
  <c r="Y468" i="62"/>
  <c r="X468" i="62"/>
  <c r="W468" i="62"/>
  <c r="V468" i="62"/>
  <c r="U468" i="62"/>
  <c r="T468" i="62"/>
  <c r="S468" i="62"/>
  <c r="R468" i="62"/>
  <c r="Q468" i="62"/>
  <c r="P468" i="62"/>
  <c r="O468" i="62"/>
  <c r="N468" i="62"/>
  <c r="M468" i="62"/>
  <c r="L468" i="62"/>
  <c r="K468" i="62"/>
  <c r="J468" i="62"/>
  <c r="I468" i="62"/>
  <c r="H468" i="62"/>
  <c r="G468" i="62"/>
  <c r="CD467" i="62"/>
  <c r="BH467" i="62"/>
  <c r="BE467" i="62" s="1"/>
  <c r="BD467" i="62"/>
  <c r="BC467" i="62"/>
  <c r="BH466" i="62"/>
  <c r="BE466" i="62" s="1"/>
  <c r="BD466" i="62"/>
  <c r="BC466" i="62"/>
  <c r="AD466" i="62"/>
  <c r="AC466" i="62"/>
  <c r="AB466" i="62"/>
  <c r="BH465" i="62"/>
  <c r="BE465" i="62"/>
  <c r="BD465" i="62"/>
  <c r="BC465" i="62"/>
  <c r="BH464" i="62"/>
  <c r="BE464" i="62"/>
  <c r="BD464" i="62"/>
  <c r="BC464" i="62"/>
  <c r="AD464" i="62"/>
  <c r="AC464" i="62"/>
  <c r="AB464" i="62"/>
  <c r="BH463" i="62"/>
  <c r="BE463" i="62" s="1"/>
  <c r="BD463" i="62"/>
  <c r="BC463" i="62"/>
  <c r="AD463" i="62"/>
  <c r="AD468" i="62" s="1"/>
  <c r="AC463" i="62"/>
  <c r="AB463" i="62"/>
  <c r="BH462" i="62"/>
  <c r="BE462" i="62"/>
  <c r="BD462" i="62"/>
  <c r="BC462" i="62"/>
  <c r="CD461" i="62"/>
  <c r="BX461" i="62"/>
  <c r="BX468" i="62" s="1"/>
  <c r="BV461" i="62"/>
  <c r="BV468" i="62" s="1"/>
  <c r="BU461" i="62"/>
  <c r="BU468" i="62" s="1"/>
  <c r="BT461" i="62"/>
  <c r="BT468" i="62" s="1"/>
  <c r="BS461" i="62"/>
  <c r="BS468" i="62" s="1"/>
  <c r="BR461" i="62"/>
  <c r="BR468" i="62" s="1"/>
  <c r="O92" i="63" s="1"/>
  <c r="BQ461" i="62"/>
  <c r="BQ468" i="62" s="1"/>
  <c r="L92" i="63" s="1"/>
  <c r="BO461" i="62"/>
  <c r="BO468" i="62" s="1"/>
  <c r="BN461" i="62"/>
  <c r="BN468" i="62" s="1"/>
  <c r="BM461" i="62"/>
  <c r="BM468" i="62" s="1"/>
  <c r="BL461" i="62"/>
  <c r="BL468" i="62" s="1"/>
  <c r="BK461" i="62"/>
  <c r="BK468" i="62" s="1"/>
  <c r="BJ461" i="62"/>
  <c r="BJ468" i="62" s="1"/>
  <c r="BI461" i="62"/>
  <c r="BI468" i="62" s="1"/>
  <c r="F92" i="63" s="1"/>
  <c r="BH461" i="62"/>
  <c r="BD461" i="62"/>
  <c r="BC461" i="62"/>
  <c r="BC468" i="62" s="1"/>
  <c r="CC453" i="62"/>
  <c r="CB453" i="62"/>
  <c r="BY453" i="62"/>
  <c r="BG453" i="62"/>
  <c r="BF453" i="62"/>
  <c r="BB453" i="62"/>
  <c r="BA453" i="62"/>
  <c r="AZ453" i="62"/>
  <c r="AY453" i="62"/>
  <c r="AX453" i="62"/>
  <c r="AW453" i="62"/>
  <c r="AI453" i="62"/>
  <c r="AH453" i="62"/>
  <c r="AF453" i="62"/>
  <c r="AE453" i="62"/>
  <c r="AA453" i="62"/>
  <c r="Z453" i="62"/>
  <c r="Y453" i="62"/>
  <c r="X453" i="62"/>
  <c r="W453" i="62"/>
  <c r="V453" i="62"/>
  <c r="H453" i="62"/>
  <c r="G453" i="62"/>
  <c r="CD452" i="62"/>
  <c r="BZ452" i="62"/>
  <c r="BX452" i="62"/>
  <c r="BQ452" i="62"/>
  <c r="CA452" i="62" s="1"/>
  <c r="BO452" i="62"/>
  <c r="BN452" i="62"/>
  <c r="BM452" i="62"/>
  <c r="BL452" i="62"/>
  <c r="BK452" i="62"/>
  <c r="BJ452" i="62"/>
  <c r="BI452" i="62"/>
  <c r="BD452" i="62"/>
  <c r="BC452" i="62"/>
  <c r="AV452" i="62"/>
  <c r="BV452" i="62" s="1"/>
  <c r="AR452" i="62"/>
  <c r="AQ452" i="62"/>
  <c r="AP452" i="62"/>
  <c r="BT452" i="62" s="1"/>
  <c r="AL452" i="62"/>
  <c r="AK452" i="62"/>
  <c r="AJ452" i="62"/>
  <c r="BR452" i="62" s="1"/>
  <c r="AC451" i="62"/>
  <c r="AB451" i="62"/>
  <c r="U451" i="62"/>
  <c r="AD451" i="62" s="1"/>
  <c r="Q451" i="62"/>
  <c r="P451" i="62"/>
  <c r="AD450" i="62"/>
  <c r="AC450" i="62"/>
  <c r="AB450" i="62"/>
  <c r="L450" i="62"/>
  <c r="K450" i="62"/>
  <c r="J450" i="62"/>
  <c r="CD449" i="62"/>
  <c r="BZ449" i="62"/>
  <c r="BX449" i="62"/>
  <c r="BW449" i="62"/>
  <c r="BV449" i="62"/>
  <c r="BU449" i="62"/>
  <c r="BT449" i="62"/>
  <c r="BS449" i="62"/>
  <c r="BR449" i="62"/>
  <c r="BQ449" i="62"/>
  <c r="CA449" i="62" s="1"/>
  <c r="BO449" i="62"/>
  <c r="AD449" i="62"/>
  <c r="BN449" i="62" s="1"/>
  <c r="AC449" i="62"/>
  <c r="AB449" i="62"/>
  <c r="U449" i="62"/>
  <c r="R449" i="62"/>
  <c r="Q449" i="62"/>
  <c r="P449" i="62"/>
  <c r="O449" i="62"/>
  <c r="BK449" i="62" s="1"/>
  <c r="L449" i="62"/>
  <c r="BJ449" i="62" s="1"/>
  <c r="K449" i="62"/>
  <c r="J449" i="62"/>
  <c r="I449" i="62"/>
  <c r="BI449" i="62" s="1"/>
  <c r="BH448" i="62"/>
  <c r="BE448" i="62" s="1"/>
  <c r="BD448" i="62"/>
  <c r="BC448" i="62"/>
  <c r="AV448" i="62"/>
  <c r="AS448" i="62" s="1"/>
  <c r="AR448" i="62"/>
  <c r="AQ448" i="62"/>
  <c r="AG447" i="62"/>
  <c r="AD447" i="62" s="1"/>
  <c r="AC447" i="62"/>
  <c r="AB447" i="62"/>
  <c r="AG446" i="62"/>
  <c r="AD446" i="62" s="1"/>
  <c r="AC446" i="62"/>
  <c r="AB446" i="62"/>
  <c r="U446" i="62"/>
  <c r="R446" i="62" s="1"/>
  <c r="Q446" i="62"/>
  <c r="P446" i="62"/>
  <c r="AG445" i="62"/>
  <c r="T445" i="62"/>
  <c r="Q445" i="62" s="1"/>
  <c r="S445" i="62"/>
  <c r="AB445" i="62" s="1"/>
  <c r="O445" i="62"/>
  <c r="U445" i="62" s="1"/>
  <c r="K445" i="62"/>
  <c r="J445" i="62"/>
  <c r="I445" i="62"/>
  <c r="AC444" i="62"/>
  <c r="AB444" i="62"/>
  <c r="U444" i="62"/>
  <c r="AD444" i="62" s="1"/>
  <c r="Q444" i="62"/>
  <c r="P444" i="62"/>
  <c r="O444" i="62"/>
  <c r="K444" i="62"/>
  <c r="J444" i="62"/>
  <c r="I444" i="62"/>
  <c r="AG443" i="62"/>
  <c r="AC443" i="62"/>
  <c r="AB443" i="62"/>
  <c r="U443" i="62"/>
  <c r="Q443" i="62"/>
  <c r="P443" i="62"/>
  <c r="O443" i="62"/>
  <c r="K443" i="62"/>
  <c r="J443" i="62"/>
  <c r="I443" i="62"/>
  <c r="BE442" i="62"/>
  <c r="BD442" i="62"/>
  <c r="BC442" i="62"/>
  <c r="BH441" i="62"/>
  <c r="BE441" i="62" s="1"/>
  <c r="BD441" i="62"/>
  <c r="BC441" i="62"/>
  <c r="BH440" i="62"/>
  <c r="BD440" i="62"/>
  <c r="BC440" i="62"/>
  <c r="AV440" i="62"/>
  <c r="AS440" i="62" s="1"/>
  <c r="AR440" i="62"/>
  <c r="AQ440" i="62"/>
  <c r="BH439" i="62"/>
  <c r="BE439" i="62" s="1"/>
  <c r="BD439" i="62"/>
  <c r="BC439" i="62"/>
  <c r="AV439" i="62"/>
  <c r="AS439" i="62" s="1"/>
  <c r="AR439" i="62"/>
  <c r="AQ439" i="62"/>
  <c r="BH438" i="62"/>
  <c r="BD438" i="62"/>
  <c r="BC438" i="62"/>
  <c r="AV438" i="62"/>
  <c r="AS438" i="62" s="1"/>
  <c r="AR438" i="62"/>
  <c r="AQ438" i="62"/>
  <c r="BH437" i="62"/>
  <c r="BE437" i="62" s="1"/>
  <c r="BD437" i="62"/>
  <c r="BC437" i="62"/>
  <c r="AV437" i="62"/>
  <c r="AS437" i="62" s="1"/>
  <c r="AR437" i="62"/>
  <c r="AQ437" i="62"/>
  <c r="BH436" i="62"/>
  <c r="BE436" i="62"/>
  <c r="BD436" i="62"/>
  <c r="BC436" i="62"/>
  <c r="AV436" i="62"/>
  <c r="AS436" i="62"/>
  <c r="AR436" i="62"/>
  <c r="AQ436" i="62"/>
  <c r="AP436" i="62"/>
  <c r="AM436" i="62"/>
  <c r="AL436" i="62"/>
  <c r="AK436" i="62"/>
  <c r="BD435" i="62"/>
  <c r="BC435" i="62"/>
  <c r="AV435" i="62"/>
  <c r="BE435" i="62" s="1"/>
  <c r="AR435" i="62"/>
  <c r="AQ435" i="62"/>
  <c r="AP435" i="62"/>
  <c r="AM435" i="62" s="1"/>
  <c r="AL435" i="62"/>
  <c r="AK435" i="62"/>
  <c r="BH434" i="62"/>
  <c r="BD434" i="62"/>
  <c r="BC434" i="62"/>
  <c r="AV434" i="62"/>
  <c r="AR434" i="62"/>
  <c r="AQ434" i="62"/>
  <c r="AP434" i="62"/>
  <c r="AM434" i="62" s="1"/>
  <c r="AL434" i="62"/>
  <c r="AK434" i="62"/>
  <c r="BH433" i="62"/>
  <c r="BE433" i="62" s="1"/>
  <c r="BD433" i="62"/>
  <c r="BC433" i="62"/>
  <c r="AV433" i="62"/>
  <c r="AR433" i="62"/>
  <c r="AQ433" i="62"/>
  <c r="AP433" i="62"/>
  <c r="AM433" i="62" s="1"/>
  <c r="AL433" i="62"/>
  <c r="AK433" i="62"/>
  <c r="BH432" i="62"/>
  <c r="BE432" i="62" s="1"/>
  <c r="BD432" i="62"/>
  <c r="BC432" i="62"/>
  <c r="AV432" i="62"/>
  <c r="AS432" i="62" s="1"/>
  <c r="AR432" i="62"/>
  <c r="AQ432" i="62"/>
  <c r="AP432" i="62"/>
  <c r="AM432" i="62" s="1"/>
  <c r="AL432" i="62"/>
  <c r="AK432" i="62"/>
  <c r="BH431" i="62"/>
  <c r="BD431" i="62"/>
  <c r="BC431" i="62"/>
  <c r="AV431" i="62"/>
  <c r="AS431" i="62" s="1"/>
  <c r="AR431" i="62"/>
  <c r="AQ431" i="62"/>
  <c r="AP431" i="62"/>
  <c r="AM431" i="62" s="1"/>
  <c r="AL431" i="62"/>
  <c r="AK431" i="62"/>
  <c r="AN429" i="62" s="1"/>
  <c r="BH430" i="62"/>
  <c r="BD430" i="62"/>
  <c r="BC430" i="62"/>
  <c r="AV430" i="62"/>
  <c r="AR430" i="62"/>
  <c r="AQ430" i="62"/>
  <c r="AP430" i="62"/>
  <c r="AM430" i="62" s="1"/>
  <c r="AL430" i="62"/>
  <c r="AK430" i="62"/>
  <c r="BE429" i="62"/>
  <c r="BD429" i="62"/>
  <c r="BC429" i="62"/>
  <c r="AJ429" i="62"/>
  <c r="BH428" i="62"/>
  <c r="BD428" i="62"/>
  <c r="BC428" i="62"/>
  <c r="AV428" i="62"/>
  <c r="AS428" i="62" s="1"/>
  <c r="AR428" i="62"/>
  <c r="AQ428" i="62"/>
  <c r="AP428" i="62"/>
  <c r="AM428" i="62" s="1"/>
  <c r="AL428" i="62"/>
  <c r="AK428" i="62"/>
  <c r="AJ428" i="62"/>
  <c r="CD427" i="62"/>
  <c r="BX427" i="62"/>
  <c r="BQ427" i="62"/>
  <c r="BO427" i="62"/>
  <c r="BI427" i="62"/>
  <c r="BD427" i="62"/>
  <c r="BC427" i="62"/>
  <c r="AV427" i="62"/>
  <c r="AR427" i="62"/>
  <c r="AQ427" i="62"/>
  <c r="AP427" i="62"/>
  <c r="AL427" i="62"/>
  <c r="AK427" i="62"/>
  <c r="AJ427" i="62"/>
  <c r="AG426" i="62"/>
  <c r="AD426" i="62"/>
  <c r="AC426" i="62"/>
  <c r="AB426" i="62"/>
  <c r="AG425" i="62"/>
  <c r="AD425" i="62"/>
  <c r="AC425" i="62"/>
  <c r="AB425" i="62"/>
  <c r="U425" i="62"/>
  <c r="R425" i="62"/>
  <c r="P425" i="62"/>
  <c r="AG424" i="62"/>
  <c r="AC424" i="62"/>
  <c r="AB424" i="62"/>
  <c r="U424" i="62"/>
  <c r="R424" i="62" s="1"/>
  <c r="Q424" i="62"/>
  <c r="P424" i="62"/>
  <c r="AG423" i="62"/>
  <c r="AD423" i="62" s="1"/>
  <c r="AC423" i="62"/>
  <c r="AB423" i="62"/>
  <c r="U423" i="62"/>
  <c r="R423" i="62" s="1"/>
  <c r="Q423" i="62"/>
  <c r="P423" i="62"/>
  <c r="AG422" i="62"/>
  <c r="AC422" i="62"/>
  <c r="AB422" i="62"/>
  <c r="U422" i="62"/>
  <c r="R422" i="62" s="1"/>
  <c r="Q422" i="62"/>
  <c r="P422" i="62"/>
  <c r="AD421" i="62"/>
  <c r="AC421" i="62"/>
  <c r="AB421" i="62"/>
  <c r="U421" i="62"/>
  <c r="R421" i="62"/>
  <c r="Q421" i="62"/>
  <c r="P421" i="62"/>
  <c r="O421" i="62"/>
  <c r="L421" i="62"/>
  <c r="AC420" i="62"/>
  <c r="AB420" i="62"/>
  <c r="U420" i="62"/>
  <c r="AD420" i="62" s="1"/>
  <c r="Q420" i="62"/>
  <c r="P420" i="62"/>
  <c r="O420" i="62"/>
  <c r="L420" i="62"/>
  <c r="AD419" i="62"/>
  <c r="AC419" i="62"/>
  <c r="AB419" i="62"/>
  <c r="U419" i="62"/>
  <c r="R419" i="62"/>
  <c r="Q419" i="62"/>
  <c r="P419" i="62"/>
  <c r="O419" i="62"/>
  <c r="L419" i="62"/>
  <c r="K419" i="62"/>
  <c r="J419" i="62"/>
  <c r="AC418" i="62"/>
  <c r="AB418" i="62"/>
  <c r="U418" i="62"/>
  <c r="AD418" i="62" s="1"/>
  <c r="Q418" i="62"/>
  <c r="P418" i="62"/>
  <c r="O418" i="62"/>
  <c r="L418" i="62" s="1"/>
  <c r="K418" i="62"/>
  <c r="J418" i="62"/>
  <c r="AC417" i="62"/>
  <c r="AB417" i="62"/>
  <c r="U417" i="62"/>
  <c r="AD417" i="62" s="1"/>
  <c r="Q417" i="62"/>
  <c r="P417" i="62"/>
  <c r="O417" i="62"/>
  <c r="L417" i="62" s="1"/>
  <c r="K417" i="62"/>
  <c r="J417" i="62"/>
  <c r="AC416" i="62"/>
  <c r="AB416" i="62"/>
  <c r="U416" i="62"/>
  <c r="AD416" i="62" s="1"/>
  <c r="Q416" i="62"/>
  <c r="P416" i="62"/>
  <c r="O416" i="62"/>
  <c r="L416" i="62" s="1"/>
  <c r="K416" i="62"/>
  <c r="J416" i="62"/>
  <c r="CD415" i="62"/>
  <c r="BZ415" i="62"/>
  <c r="BX415" i="62"/>
  <c r="BW415" i="62"/>
  <c r="BV415" i="62"/>
  <c r="BU415" i="62"/>
  <c r="BT415" i="62"/>
  <c r="BS415" i="62"/>
  <c r="BR415" i="62"/>
  <c r="BO415" i="62"/>
  <c r="AG415" i="62"/>
  <c r="BQ415" i="62" s="1"/>
  <c r="CA415" i="62" s="1"/>
  <c r="M415" i="62"/>
  <c r="I415" i="62"/>
  <c r="AG414" i="62"/>
  <c r="AD414" i="62"/>
  <c r="AC414" i="62"/>
  <c r="AB414" i="62"/>
  <c r="AG413" i="62"/>
  <c r="AD413" i="62"/>
  <c r="AC413" i="62"/>
  <c r="AB413" i="62"/>
  <c r="AG412" i="62"/>
  <c r="AD412" i="62"/>
  <c r="AC412" i="62"/>
  <c r="AB412" i="62"/>
  <c r="U412" i="62"/>
  <c r="R412" i="62"/>
  <c r="Q412" i="62"/>
  <c r="P412" i="62"/>
  <c r="AG411" i="62"/>
  <c r="AD411" i="62"/>
  <c r="AC411" i="62"/>
  <c r="AB411" i="62"/>
  <c r="U411" i="62"/>
  <c r="R411" i="62"/>
  <c r="Q411" i="62"/>
  <c r="P411" i="62"/>
  <c r="AG410" i="62"/>
  <c r="AD410" i="62"/>
  <c r="AC410" i="62"/>
  <c r="AB410" i="62"/>
  <c r="U410" i="62"/>
  <c r="R410" i="62"/>
  <c r="Q410" i="62"/>
  <c r="P410" i="62"/>
  <c r="AG409" i="62"/>
  <c r="AD409" i="62"/>
  <c r="AC409" i="62"/>
  <c r="AB409" i="62"/>
  <c r="U409" i="62"/>
  <c r="R409" i="62"/>
  <c r="Q409" i="62"/>
  <c r="P409" i="62"/>
  <c r="O409" i="62"/>
  <c r="L409" i="62"/>
  <c r="K409" i="62"/>
  <c r="J409" i="62"/>
  <c r="AG408" i="62"/>
  <c r="AD408" i="62"/>
  <c r="AC408" i="62"/>
  <c r="AB408" i="62"/>
  <c r="U408" i="62"/>
  <c r="R408" i="62"/>
  <c r="Q408" i="62"/>
  <c r="P408" i="62"/>
  <c r="O408" i="62"/>
  <c r="L408" i="62"/>
  <c r="K408" i="62"/>
  <c r="J408" i="62"/>
  <c r="AG407" i="62"/>
  <c r="AD407" i="62"/>
  <c r="AC407" i="62"/>
  <c r="AB407" i="62"/>
  <c r="U407" i="62"/>
  <c r="R407" i="62"/>
  <c r="Q407" i="62"/>
  <c r="P407" i="62"/>
  <c r="O407" i="62"/>
  <c r="L407" i="62"/>
  <c r="K407" i="62"/>
  <c r="J407" i="62"/>
  <c r="AG406" i="62"/>
  <c r="AD406" i="62"/>
  <c r="AC406" i="62"/>
  <c r="AB406" i="62"/>
  <c r="U406" i="62"/>
  <c r="R406" i="62"/>
  <c r="Q406" i="62"/>
  <c r="P406" i="62"/>
  <c r="O406" i="62"/>
  <c r="L406" i="62"/>
  <c r="K406" i="62"/>
  <c r="J406" i="62"/>
  <c r="AG405" i="62"/>
  <c r="AD405" i="62"/>
  <c r="AC405" i="62"/>
  <c r="AB405" i="62"/>
  <c r="U405" i="62"/>
  <c r="R405" i="62"/>
  <c r="Q405" i="62"/>
  <c r="P405" i="62"/>
  <c r="O405" i="62"/>
  <c r="L405" i="62"/>
  <c r="K405" i="62"/>
  <c r="J405" i="62"/>
  <c r="AG404" i="62"/>
  <c r="AD404" i="62"/>
  <c r="AC404" i="62"/>
  <c r="AB404" i="62"/>
  <c r="U404" i="62"/>
  <c r="R404" i="62"/>
  <c r="Q404" i="62"/>
  <c r="P404" i="62"/>
  <c r="O404" i="62"/>
  <c r="L404" i="62"/>
  <c r="K404" i="62"/>
  <c r="J404" i="62"/>
  <c r="AG403" i="62"/>
  <c r="AD403" i="62"/>
  <c r="AC403" i="62"/>
  <c r="AB403" i="62"/>
  <c r="U403" i="62"/>
  <c r="R403" i="62"/>
  <c r="Q403" i="62"/>
  <c r="P403" i="62"/>
  <c r="O403" i="62"/>
  <c r="L403" i="62"/>
  <c r="K403" i="62"/>
  <c r="J403" i="62"/>
  <c r="AG402" i="62"/>
  <c r="AD402" i="62"/>
  <c r="AC402" i="62"/>
  <c r="AB402" i="62"/>
  <c r="U402" i="62"/>
  <c r="R402" i="62"/>
  <c r="Q402" i="62"/>
  <c r="P402" i="62"/>
  <c r="O402" i="62"/>
  <c r="L402" i="62"/>
  <c r="K402" i="62"/>
  <c r="J402" i="62"/>
  <c r="AG401" i="62"/>
  <c r="AD401" i="62"/>
  <c r="AC401" i="62"/>
  <c r="AB401" i="62"/>
  <c r="U401" i="62"/>
  <c r="R401" i="62"/>
  <c r="Q401" i="62"/>
  <c r="P401" i="62"/>
  <c r="O401" i="62"/>
  <c r="L401" i="62"/>
  <c r="K401" i="62"/>
  <c r="J401" i="62"/>
  <c r="AG400" i="62"/>
  <c r="AD400" i="62"/>
  <c r="AC400" i="62"/>
  <c r="AB400" i="62"/>
  <c r="U400" i="62"/>
  <c r="R400" i="62"/>
  <c r="Q400" i="62"/>
  <c r="P400" i="62"/>
  <c r="O400" i="62"/>
  <c r="L400" i="62"/>
  <c r="K400" i="62"/>
  <c r="J400" i="62"/>
  <c r="AG399" i="62"/>
  <c r="AD399" i="62"/>
  <c r="AC399" i="62"/>
  <c r="AB399" i="62"/>
  <c r="U399" i="62"/>
  <c r="R399" i="62"/>
  <c r="Q399" i="62"/>
  <c r="P399" i="62"/>
  <c r="O399" i="62"/>
  <c r="L399" i="62"/>
  <c r="K399" i="62"/>
  <c r="J399" i="62"/>
  <c r="AG398" i="62"/>
  <c r="AD398" i="62"/>
  <c r="AC398" i="62"/>
  <c r="AB398" i="62"/>
  <c r="U398" i="62"/>
  <c r="R398" i="62"/>
  <c r="Q398" i="62"/>
  <c r="P398" i="62"/>
  <c r="O398" i="62"/>
  <c r="L398" i="62"/>
  <c r="K398" i="62"/>
  <c r="J398" i="62"/>
  <c r="AG397" i="62"/>
  <c r="AD397" i="62"/>
  <c r="AC397" i="62"/>
  <c r="AB397" i="62"/>
  <c r="U397" i="62"/>
  <c r="R397" i="62"/>
  <c r="Q397" i="62"/>
  <c r="P397" i="62"/>
  <c r="O397" i="62"/>
  <c r="L397" i="62"/>
  <c r="K397" i="62"/>
  <c r="J397" i="62"/>
  <c r="AG396" i="62"/>
  <c r="AD396" i="62"/>
  <c r="AC396" i="62"/>
  <c r="AB396" i="62"/>
  <c r="U396" i="62"/>
  <c r="R396" i="62"/>
  <c r="Q396" i="62"/>
  <c r="P396" i="62"/>
  <c r="O396" i="62"/>
  <c r="L396" i="62"/>
  <c r="K396" i="62"/>
  <c r="J396" i="62"/>
  <c r="CD395" i="62"/>
  <c r="BZ395" i="62"/>
  <c r="BX395" i="62"/>
  <c r="BW395" i="62"/>
  <c r="BV395" i="62"/>
  <c r="BU395" i="62"/>
  <c r="BT395" i="62"/>
  <c r="BS395" i="62"/>
  <c r="BR395" i="62"/>
  <c r="BO395" i="62"/>
  <c r="BK395" i="62"/>
  <c r="BI395" i="62"/>
  <c r="AG395" i="62"/>
  <c r="BQ395" i="62" s="1"/>
  <c r="O395" i="62"/>
  <c r="N395" i="62"/>
  <c r="T395" i="62" s="1"/>
  <c r="M395" i="62"/>
  <c r="S395" i="62" s="1"/>
  <c r="J395" i="62"/>
  <c r="AG394" i="62"/>
  <c r="AD394" i="62" s="1"/>
  <c r="AC394" i="62"/>
  <c r="AB394" i="62"/>
  <c r="U394" i="62"/>
  <c r="R394" i="62" s="1"/>
  <c r="P394" i="62"/>
  <c r="AG393" i="62"/>
  <c r="AD393" i="62" s="1"/>
  <c r="AC393" i="62"/>
  <c r="AB393" i="62"/>
  <c r="AG392" i="62"/>
  <c r="AC392" i="62"/>
  <c r="AB392" i="62"/>
  <c r="U392" i="62"/>
  <c r="R392" i="62" s="1"/>
  <c r="P392" i="62"/>
  <c r="AG391" i="62"/>
  <c r="AD391" i="62"/>
  <c r="AC391" i="62"/>
  <c r="AB391" i="62"/>
  <c r="U391" i="62"/>
  <c r="R391" i="62"/>
  <c r="P391" i="62"/>
  <c r="AG390" i="62"/>
  <c r="AC390" i="62"/>
  <c r="AB390" i="62"/>
  <c r="U390" i="62"/>
  <c r="R390" i="62" s="1"/>
  <c r="P390" i="62"/>
  <c r="AG389" i="62"/>
  <c r="AD389" i="62"/>
  <c r="AC389" i="62"/>
  <c r="AB389" i="62"/>
  <c r="U389" i="62"/>
  <c r="R389" i="62"/>
  <c r="P389" i="62"/>
  <c r="AG388" i="62"/>
  <c r="AC388" i="62"/>
  <c r="AB388" i="62"/>
  <c r="U388" i="62"/>
  <c r="R388" i="62" s="1"/>
  <c r="Q388" i="62"/>
  <c r="P388" i="62"/>
  <c r="AG387" i="62"/>
  <c r="AD387" i="62" s="1"/>
  <c r="AC387" i="62"/>
  <c r="AB387" i="62"/>
  <c r="U387" i="62"/>
  <c r="R387" i="62" s="1"/>
  <c r="Q387" i="62"/>
  <c r="P387" i="62"/>
  <c r="O387" i="62"/>
  <c r="L387" i="62" s="1"/>
  <c r="K387" i="62"/>
  <c r="J387" i="62"/>
  <c r="AG386" i="62"/>
  <c r="AC386" i="62"/>
  <c r="AB386" i="62"/>
  <c r="U386" i="62"/>
  <c r="R386" i="62" s="1"/>
  <c r="Q386" i="62"/>
  <c r="P386" i="62"/>
  <c r="O386" i="62"/>
  <c r="L386" i="62" s="1"/>
  <c r="K386" i="62"/>
  <c r="J386" i="62"/>
  <c r="AG385" i="62"/>
  <c r="AC385" i="62"/>
  <c r="AB385" i="62"/>
  <c r="U385" i="62"/>
  <c r="Q385" i="62"/>
  <c r="P385" i="62"/>
  <c r="O385" i="62"/>
  <c r="L385" i="62" s="1"/>
  <c r="K385" i="62"/>
  <c r="J385" i="62"/>
  <c r="AG384" i="62"/>
  <c r="AD384" i="62" s="1"/>
  <c r="AC384" i="62"/>
  <c r="AB384" i="62"/>
  <c r="U384" i="62"/>
  <c r="Q384" i="62"/>
  <c r="P384" i="62"/>
  <c r="O384" i="62"/>
  <c r="L384" i="62" s="1"/>
  <c r="K384" i="62"/>
  <c r="J384" i="62"/>
  <c r="AG383" i="62"/>
  <c r="AD383" i="62" s="1"/>
  <c r="AC383" i="62"/>
  <c r="AB383" i="62"/>
  <c r="U383" i="62"/>
  <c r="R383" i="62" s="1"/>
  <c r="Q383" i="62"/>
  <c r="P383" i="62"/>
  <c r="O383" i="62"/>
  <c r="L383" i="62" s="1"/>
  <c r="K383" i="62"/>
  <c r="J383" i="62"/>
  <c r="M381" i="62" s="1"/>
  <c r="S381" i="62" s="1"/>
  <c r="AG382" i="62"/>
  <c r="AC382" i="62"/>
  <c r="AB382" i="62"/>
  <c r="U382" i="62"/>
  <c r="R382" i="62" s="1"/>
  <c r="Q382" i="62"/>
  <c r="P382" i="62"/>
  <c r="O382" i="62"/>
  <c r="L382" i="62" s="1"/>
  <c r="K382" i="62"/>
  <c r="N381" i="62" s="1"/>
  <c r="J382" i="62"/>
  <c r="AG381" i="62"/>
  <c r="I381" i="62"/>
  <c r="O381" i="62" s="1"/>
  <c r="AG380" i="62"/>
  <c r="AD380" i="62" s="1"/>
  <c r="AC380" i="62"/>
  <c r="AB380" i="62"/>
  <c r="U380" i="62"/>
  <c r="R380" i="62" s="1"/>
  <c r="Q380" i="62"/>
  <c r="P380" i="62"/>
  <c r="L380" i="62"/>
  <c r="K380" i="62"/>
  <c r="J380" i="62"/>
  <c r="AG379" i="62"/>
  <c r="AD379" i="62" s="1"/>
  <c r="AC379" i="62"/>
  <c r="AB379" i="62"/>
  <c r="U379" i="62"/>
  <c r="R379" i="62" s="1"/>
  <c r="Q379" i="62"/>
  <c r="P379" i="62"/>
  <c r="O379" i="62"/>
  <c r="L379" i="62" s="1"/>
  <c r="K379" i="62"/>
  <c r="N378" i="62" s="1"/>
  <c r="J379" i="62"/>
  <c r="M378" i="62" s="1"/>
  <c r="S378" i="62" s="1"/>
  <c r="AG378" i="62"/>
  <c r="I378" i="62"/>
  <c r="CD377" i="62"/>
  <c r="BZ377" i="62"/>
  <c r="BX377" i="62"/>
  <c r="BW377" i="62"/>
  <c r="BV377" i="62"/>
  <c r="BU377" i="62"/>
  <c r="BT377" i="62"/>
  <c r="BS377" i="62"/>
  <c r="BR377" i="62"/>
  <c r="BO377" i="62"/>
  <c r="AG377" i="62"/>
  <c r="AC377" i="62"/>
  <c r="AB377" i="62"/>
  <c r="Q377" i="62"/>
  <c r="P377" i="62"/>
  <c r="O377" i="62"/>
  <c r="L377" i="62" s="1"/>
  <c r="K377" i="62"/>
  <c r="J377" i="62"/>
  <c r="I377" i="62"/>
  <c r="AG376" i="62"/>
  <c r="AC376" i="62"/>
  <c r="AB376" i="62"/>
  <c r="U376" i="62"/>
  <c r="R376" i="62" s="1"/>
  <c r="Q376" i="62"/>
  <c r="P376" i="62"/>
  <c r="AG375" i="62"/>
  <c r="AD375" i="62" s="1"/>
  <c r="AC375" i="62"/>
  <c r="AB375" i="62"/>
  <c r="U375" i="62"/>
  <c r="Q375" i="62"/>
  <c r="P375" i="62"/>
  <c r="O375" i="62"/>
  <c r="L375" i="62" s="1"/>
  <c r="K375" i="62"/>
  <c r="J375" i="62"/>
  <c r="AG374" i="62"/>
  <c r="AD374" i="62" s="1"/>
  <c r="AC374" i="62"/>
  <c r="AB374" i="62"/>
  <c r="U374" i="62"/>
  <c r="R374" i="62" s="1"/>
  <c r="Q374" i="62"/>
  <c r="P374" i="62"/>
  <c r="O374" i="62"/>
  <c r="L374" i="62" s="1"/>
  <c r="K374" i="62"/>
  <c r="J374" i="62"/>
  <c r="AG373" i="62"/>
  <c r="AC373" i="62"/>
  <c r="AB373" i="62"/>
  <c r="U373" i="62"/>
  <c r="R373" i="62" s="1"/>
  <c r="Q373" i="62"/>
  <c r="P373" i="62"/>
  <c r="O373" i="62"/>
  <c r="L373" i="62" s="1"/>
  <c r="K373" i="62"/>
  <c r="J373" i="62"/>
  <c r="AG372" i="62"/>
  <c r="AC372" i="62"/>
  <c r="AB372" i="62"/>
  <c r="U372" i="62"/>
  <c r="Q372" i="62"/>
  <c r="P372" i="62"/>
  <c r="O372" i="62"/>
  <c r="L372" i="62" s="1"/>
  <c r="K372" i="62"/>
  <c r="J372" i="62"/>
  <c r="AG371" i="62"/>
  <c r="AD371" i="62" s="1"/>
  <c r="AC371" i="62"/>
  <c r="AB371" i="62"/>
  <c r="U371" i="62"/>
  <c r="Q371" i="62"/>
  <c r="P371" i="62"/>
  <c r="O371" i="62"/>
  <c r="L371" i="62" s="1"/>
  <c r="K371" i="62"/>
  <c r="J371" i="62"/>
  <c r="AG370" i="62"/>
  <c r="AD370" i="62" s="1"/>
  <c r="AC370" i="62"/>
  <c r="AB370" i="62"/>
  <c r="U370" i="62"/>
  <c r="R370" i="62" s="1"/>
  <c r="Q370" i="62"/>
  <c r="P370" i="62"/>
  <c r="AC369" i="62"/>
  <c r="AB369" i="62"/>
  <c r="U369" i="62"/>
  <c r="AD369" i="62" s="1"/>
  <c r="O369" i="62"/>
  <c r="L369" i="62"/>
  <c r="AG368" i="62"/>
  <c r="AD368" i="62" s="1"/>
  <c r="AC368" i="62"/>
  <c r="AB368" i="62"/>
  <c r="U368" i="62"/>
  <c r="R368" i="62" s="1"/>
  <c r="Q368" i="62"/>
  <c r="P368" i="62"/>
  <c r="O368" i="62"/>
  <c r="L368" i="62" s="1"/>
  <c r="K368" i="62"/>
  <c r="N367" i="62" s="1"/>
  <c r="J368" i="62"/>
  <c r="M367" i="62" s="1"/>
  <c r="S367" i="62" s="1"/>
  <c r="J367" i="62"/>
  <c r="I367" i="62"/>
  <c r="AC366" i="62"/>
  <c r="AB366" i="62"/>
  <c r="U366" i="62"/>
  <c r="AD366" i="62" s="1"/>
  <c r="O366" i="62"/>
  <c r="L366" i="62"/>
  <c r="AD365" i="62"/>
  <c r="AC365" i="62"/>
  <c r="AB365" i="62"/>
  <c r="U365" i="62"/>
  <c r="R365" i="62"/>
  <c r="Q365" i="62"/>
  <c r="P365" i="62"/>
  <c r="O365" i="62"/>
  <c r="L365" i="62"/>
  <c r="O364" i="62" s="1"/>
  <c r="U364" i="62" s="1"/>
  <c r="K365" i="62"/>
  <c r="N364" i="62" s="1"/>
  <c r="J365" i="62"/>
  <c r="M364" i="62"/>
  <c r="CD363" i="62"/>
  <c r="BZ363" i="62"/>
  <c r="BX363" i="62"/>
  <c r="BW363" i="62"/>
  <c r="BV363" i="62"/>
  <c r="BU363" i="62"/>
  <c r="BT363" i="62"/>
  <c r="BS363" i="62"/>
  <c r="BR363" i="62"/>
  <c r="BQ363" i="62"/>
  <c r="CA363" i="62" s="1"/>
  <c r="BO363" i="62"/>
  <c r="AD363" i="62"/>
  <c r="AC363" i="62"/>
  <c r="AB363" i="62"/>
  <c r="R363" i="62"/>
  <c r="Q363" i="62"/>
  <c r="P363" i="62"/>
  <c r="L363" i="62"/>
  <c r="K363" i="62"/>
  <c r="J363" i="62"/>
  <c r="AG362" i="62"/>
  <c r="AD362" i="62"/>
  <c r="AC362" i="62"/>
  <c r="AB362" i="62"/>
  <c r="U362" i="62"/>
  <c r="R362" i="62"/>
  <c r="Q362" i="62"/>
  <c r="P362" i="62"/>
  <c r="O362" i="62"/>
  <c r="BK325" i="62" s="1"/>
  <c r="L362" i="62"/>
  <c r="K362" i="62"/>
  <c r="J362" i="62"/>
  <c r="I362" i="62"/>
  <c r="AG361" i="62"/>
  <c r="AD361" i="62" s="1"/>
  <c r="AC361" i="62"/>
  <c r="AB361" i="62"/>
  <c r="U361" i="62"/>
  <c r="R361" i="62" s="1"/>
  <c r="Q361" i="62"/>
  <c r="P361" i="62"/>
  <c r="O361" i="62"/>
  <c r="L361" i="62" s="1"/>
  <c r="K361" i="62"/>
  <c r="J361" i="62"/>
  <c r="AG360" i="62"/>
  <c r="AC360" i="62"/>
  <c r="AB360" i="62"/>
  <c r="U360" i="62"/>
  <c r="P360" i="62"/>
  <c r="O360" i="62"/>
  <c r="L360" i="62"/>
  <c r="K360" i="62"/>
  <c r="J360" i="62"/>
  <c r="AG359" i="62"/>
  <c r="AD359" i="62"/>
  <c r="AC359" i="62"/>
  <c r="AB359" i="62"/>
  <c r="AG358" i="62"/>
  <c r="AD358" i="62"/>
  <c r="AC358" i="62"/>
  <c r="AB358" i="62"/>
  <c r="U358" i="62"/>
  <c r="R358" i="62"/>
  <c r="Q358" i="62"/>
  <c r="P358" i="62"/>
  <c r="AG357" i="62"/>
  <c r="AD357" i="62"/>
  <c r="AC357" i="62"/>
  <c r="AB357" i="62"/>
  <c r="U357" i="62"/>
  <c r="R357" i="62"/>
  <c r="Q357" i="62"/>
  <c r="P357" i="62"/>
  <c r="O357" i="62"/>
  <c r="L357" i="62"/>
  <c r="K357" i="62"/>
  <c r="J357" i="62"/>
  <c r="AG356" i="62"/>
  <c r="AD356" i="62"/>
  <c r="AC356" i="62"/>
  <c r="AB356" i="62"/>
  <c r="U356" i="62"/>
  <c r="R356" i="62"/>
  <c r="Q356" i="62"/>
  <c r="P356" i="62"/>
  <c r="O356" i="62"/>
  <c r="L356" i="62"/>
  <c r="K356" i="62"/>
  <c r="J356" i="62"/>
  <c r="AG355" i="62"/>
  <c r="AD355" i="62"/>
  <c r="AC355" i="62"/>
  <c r="AB355" i="62"/>
  <c r="U355" i="62"/>
  <c r="R355" i="62"/>
  <c r="Q355" i="62"/>
  <c r="P355" i="62"/>
  <c r="O355" i="62"/>
  <c r="L355" i="62"/>
  <c r="K355" i="62"/>
  <c r="J355" i="62"/>
  <c r="BH354" i="62"/>
  <c r="BE354" i="62"/>
  <c r="BD354" i="62"/>
  <c r="BC354" i="62"/>
  <c r="BH353" i="62"/>
  <c r="BE353" i="62"/>
  <c r="BD353" i="62"/>
  <c r="BC353" i="62"/>
  <c r="BH352" i="62"/>
  <c r="BE352" i="62"/>
  <c r="BD352" i="62"/>
  <c r="BC352" i="62"/>
  <c r="BH351" i="62"/>
  <c r="BE351" i="62"/>
  <c r="BD351" i="62"/>
  <c r="BC351" i="62"/>
  <c r="BH350" i="62"/>
  <c r="BE350" i="62"/>
  <c r="BD350" i="62"/>
  <c r="BC350" i="62"/>
  <c r="BH349" i="62"/>
  <c r="BE349" i="62"/>
  <c r="BD349" i="62"/>
  <c r="BC349" i="62"/>
  <c r="AV349" i="62"/>
  <c r="AS349" i="62"/>
  <c r="AR349" i="62"/>
  <c r="AQ349" i="62"/>
  <c r="BH348" i="62"/>
  <c r="BE348" i="62"/>
  <c r="BD348" i="62"/>
  <c r="BC348" i="62"/>
  <c r="AV348" i="62"/>
  <c r="AS348" i="62"/>
  <c r="AR348" i="62"/>
  <c r="AQ348" i="62"/>
  <c r="BH347" i="62"/>
  <c r="BE347" i="62"/>
  <c r="BD347" i="62"/>
  <c r="BC347" i="62"/>
  <c r="AV347" i="62"/>
  <c r="AS347" i="62"/>
  <c r="AR347" i="62"/>
  <c r="AQ347" i="62"/>
  <c r="BH346" i="62"/>
  <c r="BE346" i="62"/>
  <c r="BD346" i="62"/>
  <c r="BC346" i="62"/>
  <c r="AV346" i="62"/>
  <c r="AS346" i="62"/>
  <c r="AR346" i="62"/>
  <c r="AQ346" i="62"/>
  <c r="BH345" i="62"/>
  <c r="BE345" i="62"/>
  <c r="BD345" i="62"/>
  <c r="BC345" i="62"/>
  <c r="AV345" i="62"/>
  <c r="AS345" i="62"/>
  <c r="AR345" i="62"/>
  <c r="AQ345" i="62"/>
  <c r="BH344" i="62"/>
  <c r="BE344" i="62"/>
  <c r="BD344" i="62"/>
  <c r="BC344" i="62"/>
  <c r="AV344" i="62"/>
  <c r="AS344" i="62"/>
  <c r="AR344" i="62"/>
  <c r="AQ344" i="62"/>
  <c r="AP344" i="62"/>
  <c r="AM344" i="62"/>
  <c r="AL344" i="62"/>
  <c r="AK344" i="62"/>
  <c r="BH343" i="62"/>
  <c r="BE343" i="62"/>
  <c r="BD343" i="62"/>
  <c r="BC343" i="62"/>
  <c r="AV343" i="62"/>
  <c r="AS343" i="62"/>
  <c r="AR343" i="62"/>
  <c r="AQ343" i="62"/>
  <c r="AP343" i="62"/>
  <c r="AM343" i="62"/>
  <c r="AL343" i="62"/>
  <c r="AK343" i="62"/>
  <c r="BH342" i="62"/>
  <c r="BE342" i="62"/>
  <c r="BD342" i="62"/>
  <c r="BC342" i="62"/>
  <c r="AV342" i="62"/>
  <c r="AQ342" i="62"/>
  <c r="AP342" i="62"/>
  <c r="AS342" i="62" s="1"/>
  <c r="AL342" i="62"/>
  <c r="AK342" i="62"/>
  <c r="BH341" i="62"/>
  <c r="BE341" i="62" s="1"/>
  <c r="BD341" i="62"/>
  <c r="BC341" i="62"/>
  <c r="AV341" i="62"/>
  <c r="AR341" i="62"/>
  <c r="AQ341" i="62"/>
  <c r="AP341" i="62"/>
  <c r="AM341" i="62" s="1"/>
  <c r="AL341" i="62"/>
  <c r="AK341" i="62"/>
  <c r="BH340" i="62"/>
  <c r="BE340" i="62" s="1"/>
  <c r="BD340" i="62"/>
  <c r="BC340" i="62"/>
  <c r="AV340" i="62"/>
  <c r="AS340" i="62" s="1"/>
  <c r="AR340" i="62"/>
  <c r="AQ340" i="62"/>
  <c r="AP340" i="62"/>
  <c r="AM340" i="62" s="1"/>
  <c r="AL340" i="62"/>
  <c r="AK340" i="62"/>
  <c r="BH339" i="62"/>
  <c r="BD339" i="62"/>
  <c r="BC339" i="62"/>
  <c r="AV339" i="62"/>
  <c r="AS339" i="62" s="1"/>
  <c r="AR339" i="62"/>
  <c r="AQ339" i="62"/>
  <c r="AP339" i="62"/>
  <c r="AM339" i="62" s="1"/>
  <c r="AL339" i="62"/>
  <c r="AK339" i="62"/>
  <c r="BH338" i="62"/>
  <c r="BD338" i="62"/>
  <c r="BC338" i="62"/>
  <c r="AV338" i="62"/>
  <c r="AQ338" i="62"/>
  <c r="AP338" i="62"/>
  <c r="AM338" i="62" s="1"/>
  <c r="AO338" i="62"/>
  <c r="AR338" i="62" s="1"/>
  <c r="AL338" i="62"/>
  <c r="AK338" i="62"/>
  <c r="BH337" i="62"/>
  <c r="BE337" i="62" s="1"/>
  <c r="BD337" i="62"/>
  <c r="BC337" i="62"/>
  <c r="AV337" i="62"/>
  <c r="AS337" i="62" s="1"/>
  <c r="AR337" i="62"/>
  <c r="AQ337" i="62"/>
  <c r="AP337" i="62"/>
  <c r="AM337" i="62" s="1"/>
  <c r="AL337" i="62"/>
  <c r="AK337" i="62"/>
  <c r="BD336" i="62"/>
  <c r="BC336" i="62"/>
  <c r="AV336" i="62"/>
  <c r="BE336" i="62" s="1"/>
  <c r="AR336" i="62"/>
  <c r="AQ336" i="62"/>
  <c r="AP336" i="62"/>
  <c r="AM336" i="62" s="1"/>
  <c r="AL336" i="62"/>
  <c r="AK336" i="62"/>
  <c r="BH335" i="62"/>
  <c r="BD335" i="62"/>
  <c r="BC335" i="62"/>
  <c r="AV335" i="62"/>
  <c r="AS335" i="62" s="1"/>
  <c r="AR335" i="62"/>
  <c r="AQ335" i="62"/>
  <c r="AP335" i="62"/>
  <c r="AM335" i="62" s="1"/>
  <c r="AL335" i="62"/>
  <c r="AK335" i="62"/>
  <c r="BH334" i="62"/>
  <c r="BD334" i="62"/>
  <c r="BC334" i="62"/>
  <c r="AV334" i="62"/>
  <c r="AR334" i="62"/>
  <c r="AQ334" i="62"/>
  <c r="AP334" i="62"/>
  <c r="AM334" i="62" s="1"/>
  <c r="AL334" i="62"/>
  <c r="AK334" i="62"/>
  <c r="BH333" i="62"/>
  <c r="BE333" i="62" s="1"/>
  <c r="BD333" i="62"/>
  <c r="BC333" i="62"/>
  <c r="AV333" i="62"/>
  <c r="AR333" i="62"/>
  <c r="AQ333" i="62"/>
  <c r="AP333" i="62"/>
  <c r="AM333" i="62" s="1"/>
  <c r="AL333" i="62"/>
  <c r="AK333" i="62"/>
  <c r="BH332" i="62"/>
  <c r="BE332" i="62" s="1"/>
  <c r="BD332" i="62"/>
  <c r="BC332" i="62"/>
  <c r="AV332" i="62"/>
  <c r="AS332" i="62" s="1"/>
  <c r="AR332" i="62"/>
  <c r="AQ332" i="62"/>
  <c r="AP332" i="62"/>
  <c r="AM332" i="62" s="1"/>
  <c r="AL332" i="62"/>
  <c r="AK332" i="62"/>
  <c r="BH331" i="62"/>
  <c r="BD331" i="62"/>
  <c r="BC331" i="62"/>
  <c r="AV331" i="62"/>
  <c r="AS331" i="62" s="1"/>
  <c r="AR331" i="62"/>
  <c r="AQ331" i="62"/>
  <c r="AP331" i="62"/>
  <c r="AM331" i="62" s="1"/>
  <c r="AL331" i="62"/>
  <c r="AK331" i="62"/>
  <c r="BH330" i="62"/>
  <c r="BD330" i="62"/>
  <c r="BC330" i="62"/>
  <c r="AV330" i="62"/>
  <c r="AR330" i="62"/>
  <c r="AQ330" i="62"/>
  <c r="AP330" i="62"/>
  <c r="AL330" i="62"/>
  <c r="AK330" i="62"/>
  <c r="BE329" i="62"/>
  <c r="BD329" i="62"/>
  <c r="BC329" i="62"/>
  <c r="AV329" i="62"/>
  <c r="AS329" i="62"/>
  <c r="AR329" i="62"/>
  <c r="AQ329" i="62"/>
  <c r="AP329" i="62"/>
  <c r="AM329" i="62"/>
  <c r="AL329" i="62"/>
  <c r="AK329" i="62"/>
  <c r="BH328" i="62"/>
  <c r="BE328" i="62"/>
  <c r="BD328" i="62"/>
  <c r="BC328" i="62"/>
  <c r="AV328" i="62"/>
  <c r="AS328" i="62"/>
  <c r="AR328" i="62"/>
  <c r="AQ328" i="62"/>
  <c r="AP328" i="62"/>
  <c r="AM328" i="62"/>
  <c r="AL328" i="62"/>
  <c r="AK328" i="62"/>
  <c r="BH327" i="62"/>
  <c r="BE327" i="62"/>
  <c r="BD327" i="62"/>
  <c r="BC327" i="62"/>
  <c r="AV327" i="62"/>
  <c r="AS327" i="62"/>
  <c r="AR327" i="62"/>
  <c r="AQ327" i="62"/>
  <c r="AP327" i="62"/>
  <c r="AM327" i="62"/>
  <c r="AL327" i="62"/>
  <c r="AK327" i="62"/>
  <c r="BH326" i="62"/>
  <c r="BE326" i="62"/>
  <c r="BD326" i="62"/>
  <c r="BC326" i="62"/>
  <c r="AV326" i="62"/>
  <c r="AS326" i="62"/>
  <c r="AR326" i="62"/>
  <c r="AQ326" i="62"/>
  <c r="AP326" i="62"/>
  <c r="AM326" i="62"/>
  <c r="AL326" i="62"/>
  <c r="AK326" i="62"/>
  <c r="CD325" i="62"/>
  <c r="BX325" i="62"/>
  <c r="BR325" i="62"/>
  <c r="BO325" i="62"/>
  <c r="BI325" i="62"/>
  <c r="BE325" i="62"/>
  <c r="BD325" i="62"/>
  <c r="BC325" i="62"/>
  <c r="AS325" i="62"/>
  <c r="AR325" i="62"/>
  <c r="AQ325" i="62"/>
  <c r="AM325" i="62"/>
  <c r="AL325" i="62"/>
  <c r="AK325" i="62"/>
  <c r="BH324" i="62"/>
  <c r="BE324" i="62" s="1"/>
  <c r="BD324" i="62"/>
  <c r="BC324" i="62"/>
  <c r="BE323" i="62"/>
  <c r="BD323" i="62"/>
  <c r="BC323" i="62"/>
  <c r="AV323" i="62"/>
  <c r="AS323" i="62"/>
  <c r="AR323" i="62"/>
  <c r="AQ323" i="62"/>
  <c r="AP323" i="62"/>
  <c r="AM323" i="62"/>
  <c r="AL323" i="62"/>
  <c r="AK323" i="62"/>
  <c r="AJ323" i="62"/>
  <c r="BH322" i="62"/>
  <c r="BE322" i="62" s="1"/>
  <c r="BD322" i="62"/>
  <c r="BC322" i="62"/>
  <c r="BH321" i="62"/>
  <c r="BE321" i="62" s="1"/>
  <c r="BD321" i="62"/>
  <c r="BC321" i="62"/>
  <c r="BH320" i="62"/>
  <c r="BE320" i="62" s="1"/>
  <c r="BD320" i="62"/>
  <c r="BC320" i="62"/>
  <c r="BH319" i="62"/>
  <c r="BE319" i="62" s="1"/>
  <c r="BD319" i="62"/>
  <c r="BC319" i="62"/>
  <c r="BH318" i="62"/>
  <c r="BE318" i="62" s="1"/>
  <c r="BD318" i="62"/>
  <c r="BC318" i="62"/>
  <c r="BH317" i="62"/>
  <c r="BE317" i="62" s="1"/>
  <c r="BD317" i="62"/>
  <c r="BC317" i="62"/>
  <c r="BH316" i="62"/>
  <c r="BE316" i="62" s="1"/>
  <c r="BD316" i="62"/>
  <c r="BC316" i="62"/>
  <c r="BH315" i="62"/>
  <c r="BE315" i="62" s="1"/>
  <c r="BD315" i="62"/>
  <c r="BC315" i="62"/>
  <c r="BH314" i="62"/>
  <c r="BE314" i="62" s="1"/>
  <c r="BD314" i="62"/>
  <c r="BC314" i="62"/>
  <c r="AV314" i="62"/>
  <c r="AS314" i="62" s="1"/>
  <c r="AR314" i="62"/>
  <c r="AQ314" i="62"/>
  <c r="BH313" i="62"/>
  <c r="BD313" i="62"/>
  <c r="BC313" i="62"/>
  <c r="AV313" i="62"/>
  <c r="AR313" i="62"/>
  <c r="AQ313" i="62"/>
  <c r="AP313" i="62"/>
  <c r="AM313" i="62" s="1"/>
  <c r="AL313" i="62"/>
  <c r="AK313" i="62"/>
  <c r="BH312" i="62"/>
  <c r="BE312" i="62" s="1"/>
  <c r="BD312" i="62"/>
  <c r="BC312" i="62"/>
  <c r="AV312" i="62"/>
  <c r="AR312" i="62"/>
  <c r="AQ312" i="62"/>
  <c r="AP312" i="62"/>
  <c r="AM312" i="62" s="1"/>
  <c r="AL312" i="62"/>
  <c r="AK312" i="62"/>
  <c r="BH311" i="62"/>
  <c r="BE311" i="62" s="1"/>
  <c r="BD311" i="62"/>
  <c r="BC311" i="62"/>
  <c r="AV311" i="62"/>
  <c r="AS311" i="62" s="1"/>
  <c r="AR311" i="62"/>
  <c r="AQ311" i="62"/>
  <c r="AP311" i="62"/>
  <c r="AM311" i="62" s="1"/>
  <c r="AL311" i="62"/>
  <c r="AK311" i="62"/>
  <c r="BH310" i="62"/>
  <c r="BD310" i="62"/>
  <c r="BC310" i="62"/>
  <c r="AV310" i="62"/>
  <c r="AS310" i="62" s="1"/>
  <c r="AR310" i="62"/>
  <c r="AQ310" i="62"/>
  <c r="AP310" i="62"/>
  <c r="AM310" i="62" s="1"/>
  <c r="AL310" i="62"/>
  <c r="AK310" i="62"/>
  <c r="BH309" i="62"/>
  <c r="BD309" i="62"/>
  <c r="BC309" i="62"/>
  <c r="AV309" i="62"/>
  <c r="AR309" i="62"/>
  <c r="AQ309" i="62"/>
  <c r="AP309" i="62"/>
  <c r="AM309" i="62" s="1"/>
  <c r="AL309" i="62"/>
  <c r="AK309" i="62"/>
  <c r="BH308" i="62"/>
  <c r="BE308" i="62" s="1"/>
  <c r="BD308" i="62"/>
  <c r="BC308" i="62"/>
  <c r="AV308" i="62"/>
  <c r="AR308" i="62"/>
  <c r="AQ308" i="62"/>
  <c r="AP308" i="62"/>
  <c r="AL308" i="62"/>
  <c r="AK308" i="62"/>
  <c r="AJ308" i="62"/>
  <c r="BD307" i="62"/>
  <c r="BC307" i="62"/>
  <c r="AV307" i="62"/>
  <c r="BE307" i="62" s="1"/>
  <c r="AR307" i="62"/>
  <c r="AQ307" i="62"/>
  <c r="AP307" i="62"/>
  <c r="AL307" i="62"/>
  <c r="AK307" i="62"/>
  <c r="AJ307" i="62"/>
  <c r="BE306" i="62"/>
  <c r="BD306" i="62"/>
  <c r="BC306" i="62"/>
  <c r="AS306" i="62"/>
  <c r="AR306" i="62"/>
  <c r="AQ306" i="62"/>
  <c r="AL306" i="62"/>
  <c r="AK306" i="62"/>
  <c r="AJ306" i="62"/>
  <c r="AM306" i="62" s="1"/>
  <c r="CD305" i="62"/>
  <c r="BX305" i="62"/>
  <c r="BQ305" i="62"/>
  <c r="BO305" i="62"/>
  <c r="BM305" i="62"/>
  <c r="BL305" i="62"/>
  <c r="BK305" i="62"/>
  <c r="BJ305" i="62"/>
  <c r="BI305" i="62"/>
  <c r="BD305" i="62"/>
  <c r="BC305" i="62"/>
  <c r="AV305" i="62"/>
  <c r="AR305" i="62"/>
  <c r="AQ305" i="62"/>
  <c r="AP305" i="62"/>
  <c r="AL305" i="62"/>
  <c r="AK305" i="62"/>
  <c r="AJ305" i="62"/>
  <c r="BR305" i="62" s="1"/>
  <c r="BD304" i="62"/>
  <c r="BC304" i="62"/>
  <c r="AV304" i="62"/>
  <c r="BE304" i="62" s="1"/>
  <c r="AS304" i="62"/>
  <c r="BD303" i="62"/>
  <c r="BC303" i="62"/>
  <c r="AV303" i="62"/>
  <c r="AR303" i="62"/>
  <c r="AQ303" i="62"/>
  <c r="AT301" i="62" s="1"/>
  <c r="BC301" i="62" s="1"/>
  <c r="AP303" i="62"/>
  <c r="AM303" i="62" s="1"/>
  <c r="AL303" i="62"/>
  <c r="AK303" i="62"/>
  <c r="BD302" i="62"/>
  <c r="BC302" i="62"/>
  <c r="AV302" i="62"/>
  <c r="BE302" i="62" s="1"/>
  <c r="AS302" i="62"/>
  <c r="AP302" i="62"/>
  <c r="AM302" i="62"/>
  <c r="BH301" i="62"/>
  <c r="BD301" i="62"/>
  <c r="AU301" i="62"/>
  <c r="AR301" i="62" s="1"/>
  <c r="AP301" i="62"/>
  <c r="AL301" i="62"/>
  <c r="AK301" i="62"/>
  <c r="AJ301" i="62"/>
  <c r="CD300" i="62"/>
  <c r="BX300" i="62"/>
  <c r="BQ300" i="62"/>
  <c r="BO300" i="62"/>
  <c r="BN300" i="62"/>
  <c r="BM300" i="62"/>
  <c r="BL300" i="62"/>
  <c r="BK300" i="62"/>
  <c r="BJ300" i="62"/>
  <c r="BI300" i="62"/>
  <c r="BH300" i="62"/>
  <c r="BZ300" i="62" s="1"/>
  <c r="CA300" i="62" s="1"/>
  <c r="BD300" i="62"/>
  <c r="BC300" i="62"/>
  <c r="AV300" i="62"/>
  <c r="AS300" i="62" s="1"/>
  <c r="AR300" i="62"/>
  <c r="AQ300" i="62"/>
  <c r="AP300" i="62"/>
  <c r="BT300" i="62" s="1"/>
  <c r="AL300" i="62"/>
  <c r="AK300" i="62"/>
  <c r="AJ300" i="62"/>
  <c r="BR300" i="62" s="1"/>
  <c r="BH299" i="62"/>
  <c r="BD299" i="62"/>
  <c r="BC299" i="62"/>
  <c r="AV299" i="62"/>
  <c r="AS299" i="62" s="1"/>
  <c r="AR299" i="62"/>
  <c r="AQ299" i="62"/>
  <c r="AP299" i="62"/>
  <c r="AL299" i="62"/>
  <c r="AK299" i="62"/>
  <c r="AJ299" i="62"/>
  <c r="CD298" i="62"/>
  <c r="BX298" i="62"/>
  <c r="BQ298" i="62"/>
  <c r="BO298" i="62"/>
  <c r="BN298" i="62"/>
  <c r="BM298" i="62"/>
  <c r="BL298" i="62"/>
  <c r="BK298" i="62"/>
  <c r="BJ298" i="62"/>
  <c r="BI298" i="62"/>
  <c r="BH298" i="62"/>
  <c r="BZ298" i="62" s="1"/>
  <c r="CA298" i="62" s="1"/>
  <c r="BE298" i="62"/>
  <c r="BD298" i="62"/>
  <c r="BC298" i="62"/>
  <c r="AV298" i="62"/>
  <c r="BV298" i="62" s="1"/>
  <c r="AS298" i="62"/>
  <c r="AR298" i="62"/>
  <c r="AQ298" i="62"/>
  <c r="AP298" i="62"/>
  <c r="BT298" i="62" s="1"/>
  <c r="AM298" i="62"/>
  <c r="AL298" i="62"/>
  <c r="AK298" i="62"/>
  <c r="AJ298" i="62"/>
  <c r="BR298" i="62" s="1"/>
  <c r="BE297" i="62"/>
  <c r="BD297" i="62"/>
  <c r="BC297" i="62"/>
  <c r="AV297" i="62"/>
  <c r="AS297" i="62"/>
  <c r="AR297" i="62"/>
  <c r="AQ297" i="62"/>
  <c r="AP297" i="62"/>
  <c r="AM297" i="62"/>
  <c r="AL297" i="62"/>
  <c r="AK297" i="62"/>
  <c r="BH296" i="62"/>
  <c r="BE296" i="62"/>
  <c r="BD296" i="62"/>
  <c r="BC296" i="62"/>
  <c r="BH295" i="62"/>
  <c r="BE295" i="62"/>
  <c r="BD295" i="62"/>
  <c r="BC295" i="62"/>
  <c r="BH294" i="62"/>
  <c r="BE294" i="62"/>
  <c r="BD294" i="62"/>
  <c r="BC294" i="62"/>
  <c r="BH293" i="62"/>
  <c r="BE293" i="62"/>
  <c r="BD293" i="62"/>
  <c r="BC293" i="62"/>
  <c r="BD292" i="62"/>
  <c r="BC292" i="62"/>
  <c r="AV292" i="62"/>
  <c r="BE292" i="62" s="1"/>
  <c r="AR292" i="62"/>
  <c r="AQ292" i="62"/>
  <c r="AP292" i="62"/>
  <c r="AM292" i="62" s="1"/>
  <c r="AL292" i="62"/>
  <c r="AK292" i="62"/>
  <c r="BE291" i="62"/>
  <c r="BD291" i="62"/>
  <c r="BC291" i="62"/>
  <c r="AV291" i="62"/>
  <c r="AS291" i="62"/>
  <c r="AR291" i="62"/>
  <c r="AQ291" i="62"/>
  <c r="AP291" i="62"/>
  <c r="AM291" i="62"/>
  <c r="AL291" i="62"/>
  <c r="AK291" i="62"/>
  <c r="BH290" i="62"/>
  <c r="AO290" i="62"/>
  <c r="AN290" i="62"/>
  <c r="AJ290" i="62"/>
  <c r="AP290" i="62" s="1"/>
  <c r="BH289" i="62"/>
  <c r="BD289" i="62"/>
  <c r="BC289" i="62"/>
  <c r="AV289" i="62"/>
  <c r="AS289" i="62" s="1"/>
  <c r="AR289" i="62"/>
  <c r="AQ289" i="62"/>
  <c r="AP289" i="62"/>
  <c r="AL289" i="62"/>
  <c r="AK289" i="62"/>
  <c r="AJ289" i="62"/>
  <c r="BH288" i="62"/>
  <c r="BE288" i="62"/>
  <c r="BD288" i="62"/>
  <c r="BC288" i="62"/>
  <c r="BH287" i="62"/>
  <c r="BE287" i="62"/>
  <c r="BD287" i="62"/>
  <c r="BC287" i="62"/>
  <c r="BH286" i="62"/>
  <c r="BE286" i="62"/>
  <c r="BD286" i="62"/>
  <c r="BC286" i="62"/>
  <c r="BH285" i="62"/>
  <c r="BE285" i="62"/>
  <c r="BD285" i="62"/>
  <c r="BC285" i="62"/>
  <c r="BH284" i="62"/>
  <c r="BE284" i="62"/>
  <c r="BD284" i="62"/>
  <c r="BC284" i="62"/>
  <c r="BH283" i="62"/>
  <c r="BE283" i="62"/>
  <c r="BD283" i="62"/>
  <c r="BC283" i="62"/>
  <c r="BH282" i="62"/>
  <c r="BE282" i="62"/>
  <c r="BD282" i="62"/>
  <c r="BC282" i="62"/>
  <c r="BH281" i="62"/>
  <c r="BE281" i="62"/>
  <c r="BD281" i="62"/>
  <c r="BC281" i="62"/>
  <c r="BH280" i="62"/>
  <c r="BE280" i="62"/>
  <c r="BD280" i="62"/>
  <c r="BC280" i="62"/>
  <c r="BH279" i="62"/>
  <c r="BE279" i="62"/>
  <c r="BD279" i="62"/>
  <c r="BC279" i="62"/>
  <c r="BH278" i="62"/>
  <c r="BE278" i="62"/>
  <c r="BD278" i="62"/>
  <c r="BC278" i="62"/>
  <c r="BH277" i="62"/>
  <c r="BE277" i="62"/>
  <c r="BD277" i="62"/>
  <c r="BC277" i="62"/>
  <c r="BE276" i="62"/>
  <c r="BD276" i="62"/>
  <c r="BC276" i="62"/>
  <c r="AS276" i="62"/>
  <c r="AR276" i="62"/>
  <c r="AQ276" i="62"/>
  <c r="BH275" i="62"/>
  <c r="BE275" i="62"/>
  <c r="BD275" i="62"/>
  <c r="BC275" i="62"/>
  <c r="AV275" i="62"/>
  <c r="AS275" i="62"/>
  <c r="AR275" i="62"/>
  <c r="AQ275" i="62"/>
  <c r="BH274" i="62"/>
  <c r="BE274" i="62"/>
  <c r="BD274" i="62"/>
  <c r="BC274" i="62"/>
  <c r="AV274" i="62"/>
  <c r="AS274" i="62"/>
  <c r="AR274" i="62"/>
  <c r="BH273" i="62"/>
  <c r="BE273" i="62" s="1"/>
  <c r="BD273" i="62"/>
  <c r="BC273" i="62"/>
  <c r="AV273" i="62"/>
  <c r="AS273" i="62" s="1"/>
  <c r="AR273" i="62"/>
  <c r="AQ273" i="62"/>
  <c r="BH272" i="62"/>
  <c r="BE272" i="62" s="1"/>
  <c r="BD272" i="62"/>
  <c r="BC272" i="62"/>
  <c r="AV272" i="62"/>
  <c r="AS272" i="62" s="1"/>
  <c r="AR272" i="62"/>
  <c r="AQ272" i="62"/>
  <c r="BH271" i="62"/>
  <c r="BE271" i="62" s="1"/>
  <c r="BD271" i="62"/>
  <c r="BC271" i="62"/>
  <c r="AV271" i="62"/>
  <c r="AS271" i="62" s="1"/>
  <c r="AR271" i="62"/>
  <c r="AQ271" i="62"/>
  <c r="BH270" i="62"/>
  <c r="BE270" i="62" s="1"/>
  <c r="BD270" i="62"/>
  <c r="BC270" i="62"/>
  <c r="AV270" i="62"/>
  <c r="AS270" i="62" s="1"/>
  <c r="AR270" i="62"/>
  <c r="AQ270" i="62"/>
  <c r="BH269" i="62"/>
  <c r="BE269" i="62" s="1"/>
  <c r="BD269" i="62"/>
  <c r="BC269" i="62"/>
  <c r="AV269" i="62"/>
  <c r="AS269" i="62" s="1"/>
  <c r="AR269" i="62"/>
  <c r="AQ269" i="62"/>
  <c r="BH268" i="62"/>
  <c r="BE268" i="62" s="1"/>
  <c r="BD268" i="62"/>
  <c r="BC268" i="62"/>
  <c r="AV268" i="62"/>
  <c r="AS268" i="62" s="1"/>
  <c r="AR268" i="62"/>
  <c r="AQ268" i="62"/>
  <c r="BE267" i="62"/>
  <c r="BD267" i="62"/>
  <c r="BC267" i="62"/>
  <c r="AV267" i="62"/>
  <c r="AS267" i="62"/>
  <c r="AR267" i="62"/>
  <c r="AQ267" i="62"/>
  <c r="BH266" i="62"/>
  <c r="BE266" i="62"/>
  <c r="BD266" i="62"/>
  <c r="BC266" i="62"/>
  <c r="AV266" i="62"/>
  <c r="AS266" i="62"/>
  <c r="AR266" i="62"/>
  <c r="AQ266" i="62"/>
  <c r="BH265" i="62"/>
  <c r="BE265" i="62"/>
  <c r="BD265" i="62"/>
  <c r="BC265" i="62"/>
  <c r="AV265" i="62"/>
  <c r="AS265" i="62"/>
  <c r="AR265" i="62"/>
  <c r="AQ265" i="62"/>
  <c r="BH264" i="62"/>
  <c r="BE264" i="62"/>
  <c r="BD264" i="62"/>
  <c r="BC264" i="62"/>
  <c r="AV264" i="62"/>
  <c r="AS264" i="62"/>
  <c r="AR264" i="62"/>
  <c r="AQ264" i="62"/>
  <c r="BH263" i="62"/>
  <c r="BE263" i="62"/>
  <c r="BD263" i="62"/>
  <c r="BC263" i="62"/>
  <c r="AV263" i="62"/>
  <c r="AS263" i="62"/>
  <c r="AR263" i="62"/>
  <c r="AQ263" i="62"/>
  <c r="BH262" i="62"/>
  <c r="BE262" i="62"/>
  <c r="BD262" i="62"/>
  <c r="BC262" i="62"/>
  <c r="AV262" i="62"/>
  <c r="AS262" i="62"/>
  <c r="AR262" i="62"/>
  <c r="AQ262" i="62"/>
  <c r="AP262" i="62"/>
  <c r="AM262" i="62"/>
  <c r="AL262" i="62"/>
  <c r="AK262" i="62"/>
  <c r="BH261" i="62"/>
  <c r="BE261" i="62"/>
  <c r="BD261" i="62"/>
  <c r="BC261" i="62"/>
  <c r="AV261" i="62"/>
  <c r="AS261" i="62"/>
  <c r="AR261" i="62"/>
  <c r="AQ261" i="62"/>
  <c r="AP261" i="62"/>
  <c r="AM261" i="62"/>
  <c r="AL261" i="62"/>
  <c r="AK261" i="62"/>
  <c r="BH260" i="62"/>
  <c r="BE260" i="62"/>
  <c r="BD260" i="62"/>
  <c r="BC260" i="62"/>
  <c r="AV260" i="62"/>
  <c r="AS260" i="62"/>
  <c r="AR260" i="62"/>
  <c r="AQ260" i="62"/>
  <c r="AP260" i="62"/>
  <c r="AM260" i="62"/>
  <c r="AL260" i="62"/>
  <c r="AK260" i="62"/>
  <c r="BH259" i="62"/>
  <c r="BE259" i="62"/>
  <c r="BD259" i="62"/>
  <c r="BC259" i="62"/>
  <c r="AV259" i="62"/>
  <c r="AS259" i="62"/>
  <c r="AR259" i="62"/>
  <c r="AQ259" i="62"/>
  <c r="AP259" i="62"/>
  <c r="AM259" i="62"/>
  <c r="AL259" i="62"/>
  <c r="AK259" i="62"/>
  <c r="BH258" i="62"/>
  <c r="BE258" i="62"/>
  <c r="BD258" i="62"/>
  <c r="BC258" i="62"/>
  <c r="AV258" i="62"/>
  <c r="AS258" i="62"/>
  <c r="AR258" i="62"/>
  <c r="AQ258" i="62"/>
  <c r="AP258" i="62"/>
  <c r="AM258" i="62"/>
  <c r="AL258" i="62"/>
  <c r="AK258" i="62"/>
  <c r="BH257" i="62"/>
  <c r="BE257" i="62"/>
  <c r="BD257" i="62"/>
  <c r="BC257" i="62"/>
  <c r="AV257" i="62"/>
  <c r="AS257" i="62"/>
  <c r="AR257" i="62"/>
  <c r="AQ257" i="62"/>
  <c r="AP257" i="62"/>
  <c r="AM257" i="62"/>
  <c r="AL257" i="62"/>
  <c r="AK257" i="62"/>
  <c r="BH256" i="62"/>
  <c r="BE256" i="62"/>
  <c r="BD256" i="62"/>
  <c r="BC256" i="62"/>
  <c r="AV256" i="62"/>
  <c r="AS256" i="62"/>
  <c r="AR256" i="62"/>
  <c r="AQ256" i="62"/>
  <c r="AP256" i="62"/>
  <c r="AM256" i="62"/>
  <c r="AL256" i="62"/>
  <c r="AK256" i="62"/>
  <c r="BH255" i="62"/>
  <c r="BE255" i="62"/>
  <c r="BD255" i="62"/>
  <c r="BC255" i="62"/>
  <c r="AV255" i="62"/>
  <c r="AS255" i="62"/>
  <c r="AR255" i="62"/>
  <c r="AQ255" i="62"/>
  <c r="AP255" i="62"/>
  <c r="AM255" i="62"/>
  <c r="AL255" i="62"/>
  <c r="AK255" i="62"/>
  <c r="BH254" i="62"/>
  <c r="BE254" i="62"/>
  <c r="BD254" i="62"/>
  <c r="BC254" i="62"/>
  <c r="AV254" i="62"/>
  <c r="AS254" i="62"/>
  <c r="AR254" i="62"/>
  <c r="AQ254" i="62"/>
  <c r="AP254" i="62"/>
  <c r="AM254" i="62"/>
  <c r="AL254" i="62"/>
  <c r="AK254" i="62"/>
  <c r="BH253" i="62"/>
  <c r="BE253" i="62"/>
  <c r="BD253" i="62"/>
  <c r="BC253" i="62"/>
  <c r="AV253" i="62"/>
  <c r="AS253" i="62"/>
  <c r="AR253" i="62"/>
  <c r="AQ253" i="62"/>
  <c r="AP253" i="62"/>
  <c r="AM253" i="62"/>
  <c r="AL253" i="62"/>
  <c r="AK253" i="62"/>
  <c r="BH252" i="62"/>
  <c r="BE252" i="62"/>
  <c r="BD252" i="62"/>
  <c r="BC252" i="62"/>
  <c r="AV252" i="62"/>
  <c r="AS252" i="62"/>
  <c r="AR252" i="62"/>
  <c r="AQ252" i="62"/>
  <c r="AP252" i="62"/>
  <c r="AM252" i="62"/>
  <c r="AL252" i="62"/>
  <c r="AK252" i="62"/>
  <c r="BH251" i="62"/>
  <c r="BE251" i="62"/>
  <c r="BD251" i="62"/>
  <c r="BC251" i="62"/>
  <c r="AV251" i="62"/>
  <c r="AS251" i="62"/>
  <c r="AR251" i="62"/>
  <c r="AQ251" i="62"/>
  <c r="AP251" i="62"/>
  <c r="AM251" i="62"/>
  <c r="AL251" i="62"/>
  <c r="AK251" i="62"/>
  <c r="BH250" i="62"/>
  <c r="BE250" i="62"/>
  <c r="BD250" i="62"/>
  <c r="BC250" i="62"/>
  <c r="AV250" i="62"/>
  <c r="AS250" i="62"/>
  <c r="AR250" i="62"/>
  <c r="AQ250" i="62"/>
  <c r="AP250" i="62"/>
  <c r="AM250" i="62"/>
  <c r="AL250" i="62"/>
  <c r="AK250" i="62"/>
  <c r="BH249" i="62"/>
  <c r="BE249" i="62"/>
  <c r="BD249" i="62"/>
  <c r="BC249" i="62"/>
  <c r="AV249" i="62"/>
  <c r="AS249" i="62"/>
  <c r="AR249" i="62"/>
  <c r="AQ249" i="62"/>
  <c r="AP249" i="62"/>
  <c r="AM249" i="62"/>
  <c r="AL249" i="62"/>
  <c r="BH248" i="62"/>
  <c r="BE248" i="62" s="1"/>
  <c r="BD248" i="62"/>
  <c r="BC248" i="62"/>
  <c r="AV248" i="62"/>
  <c r="AR248" i="62"/>
  <c r="AQ248" i="62"/>
  <c r="AP248" i="62"/>
  <c r="AM248" i="62" s="1"/>
  <c r="AL248" i="62"/>
  <c r="BH247" i="62"/>
  <c r="BE247" i="62" s="1"/>
  <c r="BD247" i="62"/>
  <c r="BC247" i="62"/>
  <c r="AV247" i="62"/>
  <c r="AR247" i="62"/>
  <c r="AQ247" i="62"/>
  <c r="AP247" i="62"/>
  <c r="AM247" i="62" s="1"/>
  <c r="AL247" i="62"/>
  <c r="AK247" i="62"/>
  <c r="BH246" i="62"/>
  <c r="BE246" i="62" s="1"/>
  <c r="BD246" i="62"/>
  <c r="BC246" i="62"/>
  <c r="AV246" i="62"/>
  <c r="AS246" i="62" s="1"/>
  <c r="AR246" i="62"/>
  <c r="AQ246" i="62"/>
  <c r="AP246" i="62"/>
  <c r="AM246" i="62" s="1"/>
  <c r="AL246" i="62"/>
  <c r="BH245" i="62"/>
  <c r="BD245" i="62"/>
  <c r="BC245" i="62"/>
  <c r="AV245" i="62"/>
  <c r="AS245" i="62" s="1"/>
  <c r="AR245" i="62"/>
  <c r="AQ245" i="62"/>
  <c r="AP245" i="62"/>
  <c r="AM245" i="62" s="1"/>
  <c r="AL245" i="62"/>
  <c r="BH244" i="62"/>
  <c r="BE244" i="62"/>
  <c r="BD244" i="62"/>
  <c r="BC244" i="62"/>
  <c r="AV244" i="62"/>
  <c r="AS244" i="62"/>
  <c r="AR244" i="62"/>
  <c r="AQ244" i="62"/>
  <c r="AP244" i="62"/>
  <c r="AM244" i="62"/>
  <c r="AL244" i="62"/>
  <c r="AK244" i="62"/>
  <c r="BH243" i="62"/>
  <c r="BE243" i="62"/>
  <c r="BD243" i="62"/>
  <c r="BC243" i="62"/>
  <c r="AV243" i="62"/>
  <c r="AS243" i="62"/>
  <c r="AR243" i="62"/>
  <c r="AQ243" i="62"/>
  <c r="AP243" i="62"/>
  <c r="AM243" i="62"/>
  <c r="AL243" i="62"/>
  <c r="BH242" i="62"/>
  <c r="BE242" i="62" s="1"/>
  <c r="BD242" i="62"/>
  <c r="BC242" i="62"/>
  <c r="AV242" i="62"/>
  <c r="AR242" i="62"/>
  <c r="AQ242" i="62"/>
  <c r="AP242" i="62"/>
  <c r="AM242" i="62" s="1"/>
  <c r="AL242" i="62"/>
  <c r="AK242" i="62"/>
  <c r="BH241" i="62"/>
  <c r="BD241" i="62"/>
  <c r="BC241" i="62"/>
  <c r="AV241" i="62"/>
  <c r="AS241" i="62" s="1"/>
  <c r="AR241" i="62"/>
  <c r="AQ241" i="62"/>
  <c r="AP241" i="62"/>
  <c r="AM241" i="62" s="1"/>
  <c r="AL241" i="62"/>
  <c r="AK241" i="62"/>
  <c r="BH240" i="62"/>
  <c r="BE240" i="62" s="1"/>
  <c r="BD240" i="62"/>
  <c r="BC240" i="62"/>
  <c r="AV240" i="62"/>
  <c r="AR240" i="62"/>
  <c r="AQ240" i="62"/>
  <c r="AP240" i="62"/>
  <c r="AM240" i="62" s="1"/>
  <c r="AL240" i="62"/>
  <c r="AK240" i="62"/>
  <c r="BH239" i="62"/>
  <c r="BD239" i="62"/>
  <c r="BC239" i="62"/>
  <c r="AV239" i="62"/>
  <c r="AS239" i="62" s="1"/>
  <c r="AR239" i="62"/>
  <c r="AQ239" i="62"/>
  <c r="AP239" i="62"/>
  <c r="AM239" i="62" s="1"/>
  <c r="AL239" i="62"/>
  <c r="AK239" i="62"/>
  <c r="BH238" i="62"/>
  <c r="BE238" i="62" s="1"/>
  <c r="BD238" i="62"/>
  <c r="BC238" i="62"/>
  <c r="AV238" i="62"/>
  <c r="AR238" i="62"/>
  <c r="AQ238" i="62"/>
  <c r="AP238" i="62"/>
  <c r="AM238" i="62" s="1"/>
  <c r="AL238" i="62"/>
  <c r="AK238" i="62"/>
  <c r="BH237" i="62"/>
  <c r="BD237" i="62"/>
  <c r="BC237" i="62"/>
  <c r="AV237" i="62"/>
  <c r="AS237" i="62" s="1"/>
  <c r="AR237" i="62"/>
  <c r="AQ237" i="62"/>
  <c r="AP237" i="62"/>
  <c r="AM237" i="62" s="1"/>
  <c r="AL237" i="62"/>
  <c r="AK237" i="62"/>
  <c r="BH236" i="62"/>
  <c r="BE236" i="62" s="1"/>
  <c r="BD236" i="62"/>
  <c r="BC236" i="62"/>
  <c r="AV236" i="62"/>
  <c r="AR236" i="62"/>
  <c r="AQ236" i="62"/>
  <c r="AP236" i="62"/>
  <c r="AM236" i="62" s="1"/>
  <c r="AL236" i="62"/>
  <c r="AK236" i="62"/>
  <c r="BH235" i="62"/>
  <c r="BD235" i="62"/>
  <c r="BC235" i="62"/>
  <c r="AV235" i="62"/>
  <c r="AS235" i="62" s="1"/>
  <c r="AR235" i="62"/>
  <c r="AQ235" i="62"/>
  <c r="AP235" i="62"/>
  <c r="AM235" i="62" s="1"/>
  <c r="AL235" i="62"/>
  <c r="AK235" i="62"/>
  <c r="BH234" i="62"/>
  <c r="BE234" i="62" s="1"/>
  <c r="BD234" i="62"/>
  <c r="BC234" i="62"/>
  <c r="AV234" i="62"/>
  <c r="AR234" i="62"/>
  <c r="AQ234" i="62"/>
  <c r="AP234" i="62"/>
  <c r="AM234" i="62" s="1"/>
  <c r="AL234" i="62"/>
  <c r="AK234" i="62"/>
  <c r="BH233" i="62"/>
  <c r="BD233" i="62"/>
  <c r="BC233" i="62"/>
  <c r="AV233" i="62"/>
  <c r="AR233" i="62"/>
  <c r="AP233" i="62"/>
  <c r="AM233" i="62" s="1"/>
  <c r="AL233" i="62"/>
  <c r="BH232" i="62"/>
  <c r="BD232" i="62"/>
  <c r="BC232" i="62"/>
  <c r="AV232" i="62"/>
  <c r="AS232" i="62" s="1"/>
  <c r="AR232" i="62"/>
  <c r="AQ232" i="62"/>
  <c r="AP232" i="62"/>
  <c r="AM232" i="62" s="1"/>
  <c r="AL232" i="62"/>
  <c r="AK232" i="62"/>
  <c r="BH231" i="62"/>
  <c r="BE231" i="62" s="1"/>
  <c r="BD231" i="62"/>
  <c r="BC231" i="62"/>
  <c r="AV231" i="62"/>
  <c r="AR231" i="62"/>
  <c r="AQ231" i="62"/>
  <c r="AP231" i="62"/>
  <c r="AM231" i="62" s="1"/>
  <c r="AL231" i="62"/>
  <c r="AK231" i="62"/>
  <c r="BH230" i="62"/>
  <c r="BD230" i="62"/>
  <c r="BC230" i="62"/>
  <c r="AV230" i="62"/>
  <c r="AS230" i="62" s="1"/>
  <c r="AR230" i="62"/>
  <c r="AQ230" i="62"/>
  <c r="AP230" i="62"/>
  <c r="AM230" i="62" s="1"/>
  <c r="AL230" i="62"/>
  <c r="AK230" i="62"/>
  <c r="BH229" i="62"/>
  <c r="BE229" i="62" s="1"/>
  <c r="BD229" i="62"/>
  <c r="BC229" i="62"/>
  <c r="AV229" i="62"/>
  <c r="AR229" i="62"/>
  <c r="AP229" i="62"/>
  <c r="AM229" i="62"/>
  <c r="AL229" i="62"/>
  <c r="BH228" i="62"/>
  <c r="BE228" i="62" s="1"/>
  <c r="BD228" i="62"/>
  <c r="BC228" i="62"/>
  <c r="AV228" i="62"/>
  <c r="AR228" i="62"/>
  <c r="AQ228" i="62"/>
  <c r="AP228" i="62"/>
  <c r="AM228" i="62" s="1"/>
  <c r="AL228" i="62"/>
  <c r="AK228" i="62"/>
  <c r="BH227" i="62"/>
  <c r="BD227" i="62"/>
  <c r="BC227" i="62"/>
  <c r="AV227" i="62"/>
  <c r="AS227" i="62" s="1"/>
  <c r="AR227" i="62"/>
  <c r="AQ227" i="62"/>
  <c r="AP227" i="62"/>
  <c r="AM227" i="62" s="1"/>
  <c r="AL227" i="62"/>
  <c r="AK227" i="62"/>
  <c r="BH226" i="62"/>
  <c r="BE226" i="62" s="1"/>
  <c r="BD226" i="62"/>
  <c r="BC226" i="62"/>
  <c r="AV226" i="62"/>
  <c r="AR226" i="62"/>
  <c r="AQ226" i="62"/>
  <c r="AP226" i="62"/>
  <c r="AM226" i="62" s="1"/>
  <c r="AL226" i="62"/>
  <c r="AK226" i="62"/>
  <c r="BE225" i="62"/>
  <c r="BD225" i="62"/>
  <c r="BC225" i="62"/>
  <c r="AS225" i="62"/>
  <c r="AR225" i="62"/>
  <c r="AQ225" i="62"/>
  <c r="AL225" i="62"/>
  <c r="AK225" i="62"/>
  <c r="AJ225" i="62"/>
  <c r="AM225" i="62" s="1"/>
  <c r="BH224" i="62"/>
  <c r="BE224" i="62"/>
  <c r="BD224" i="62"/>
  <c r="BC224" i="62"/>
  <c r="BH223" i="62"/>
  <c r="BE223" i="62"/>
  <c r="BD223" i="62"/>
  <c r="BC223" i="62"/>
  <c r="AV223" i="62"/>
  <c r="AS223" i="62"/>
  <c r="AR223" i="62"/>
  <c r="AQ223" i="62"/>
  <c r="AP223" i="62"/>
  <c r="AM223" i="62"/>
  <c r="AL223" i="62"/>
  <c r="AK223" i="62"/>
  <c r="AJ223" i="62"/>
  <c r="BH222" i="62"/>
  <c r="BE222" i="62" s="1"/>
  <c r="BD222" i="62"/>
  <c r="BC222" i="62"/>
  <c r="AV222" i="62"/>
  <c r="AS222" i="62" s="1"/>
  <c r="AR222" i="62"/>
  <c r="AQ222" i="62"/>
  <c r="BH221" i="62"/>
  <c r="BE221" i="62" s="1"/>
  <c r="BD221" i="62"/>
  <c r="BC221" i="62"/>
  <c r="BH220" i="62"/>
  <c r="BE220" i="62" s="1"/>
  <c r="BD220" i="62"/>
  <c r="BC220" i="62"/>
  <c r="AV220" i="62"/>
  <c r="AS220" i="62" s="1"/>
  <c r="AR220" i="62"/>
  <c r="AQ220" i="62"/>
  <c r="AP220" i="62"/>
  <c r="AM220" i="62" s="1"/>
  <c r="AL220" i="62"/>
  <c r="AK220" i="62"/>
  <c r="BH219" i="62"/>
  <c r="BE219" i="62" s="1"/>
  <c r="BD219" i="62"/>
  <c r="BC219" i="62"/>
  <c r="BH218" i="62"/>
  <c r="BE218" i="62" s="1"/>
  <c r="BD218" i="62"/>
  <c r="BC218" i="62"/>
  <c r="BH217" i="62"/>
  <c r="BE217" i="62" s="1"/>
  <c r="BD217" i="62"/>
  <c r="BC217" i="62"/>
  <c r="BH216" i="62"/>
  <c r="BE216" i="62" s="1"/>
  <c r="BD216" i="62"/>
  <c r="BC216" i="62"/>
  <c r="BH215" i="62"/>
  <c r="BE215" i="62" s="1"/>
  <c r="BD215" i="62"/>
  <c r="BC215" i="62"/>
  <c r="BH214" i="62"/>
  <c r="BE214" i="62" s="1"/>
  <c r="BD214" i="62"/>
  <c r="BC214" i="62"/>
  <c r="BH213" i="62"/>
  <c r="BE213" i="62" s="1"/>
  <c r="BD213" i="62"/>
  <c r="BC213" i="62"/>
  <c r="AV213" i="62"/>
  <c r="AS213" i="62" s="1"/>
  <c r="AR213" i="62"/>
  <c r="AQ213" i="62"/>
  <c r="AP213" i="62"/>
  <c r="AM213" i="62" s="1"/>
  <c r="AL213" i="62"/>
  <c r="AK213" i="62"/>
  <c r="BH212" i="62"/>
  <c r="BE212" i="62" s="1"/>
  <c r="BD212" i="62"/>
  <c r="BC212" i="62"/>
  <c r="AV212" i="62"/>
  <c r="AS212" i="62" s="1"/>
  <c r="AR212" i="62"/>
  <c r="AQ212" i="62"/>
  <c r="AP212" i="62"/>
  <c r="AM212" i="62" s="1"/>
  <c r="AL212" i="62"/>
  <c r="AK212" i="62"/>
  <c r="BH211" i="62"/>
  <c r="BD211" i="62"/>
  <c r="BC211" i="62"/>
  <c r="AV211" i="62"/>
  <c r="AS211" i="62" s="1"/>
  <c r="AR211" i="62"/>
  <c r="AQ211" i="62"/>
  <c r="AP211" i="62"/>
  <c r="AM211" i="62" s="1"/>
  <c r="AL211" i="62"/>
  <c r="AK211" i="62"/>
  <c r="BH210" i="62"/>
  <c r="BE210" i="62" s="1"/>
  <c r="BD210" i="62"/>
  <c r="BC210" i="62"/>
  <c r="AV210" i="62"/>
  <c r="AR210" i="62"/>
  <c r="AQ210" i="62"/>
  <c r="AP210" i="62"/>
  <c r="AM210" i="62" s="1"/>
  <c r="AL210" i="62"/>
  <c r="AK210" i="62"/>
  <c r="BH209" i="62"/>
  <c r="BE209" i="62" s="1"/>
  <c r="BD209" i="62"/>
  <c r="BC209" i="62"/>
  <c r="AV209" i="62"/>
  <c r="AS209" i="62" s="1"/>
  <c r="AR209" i="62"/>
  <c r="AQ209" i="62"/>
  <c r="AP209" i="62"/>
  <c r="AM209" i="62" s="1"/>
  <c r="AL209" i="62"/>
  <c r="AK209" i="62"/>
  <c r="BH208" i="62"/>
  <c r="BE208" i="62" s="1"/>
  <c r="BD208" i="62"/>
  <c r="BC208" i="62"/>
  <c r="AV208" i="62"/>
  <c r="AS208" i="62" s="1"/>
  <c r="AR208" i="62"/>
  <c r="AQ208" i="62"/>
  <c r="AP208" i="62"/>
  <c r="AM208" i="62" s="1"/>
  <c r="AL208" i="62"/>
  <c r="AK208" i="62"/>
  <c r="BH207" i="62"/>
  <c r="BD207" i="62"/>
  <c r="BC207" i="62"/>
  <c r="AV207" i="62"/>
  <c r="AS207" i="62" s="1"/>
  <c r="AR207" i="62"/>
  <c r="AQ207" i="62"/>
  <c r="AP207" i="62"/>
  <c r="AM207" i="62" s="1"/>
  <c r="AL207" i="62"/>
  <c r="AO203" i="62" s="1"/>
  <c r="AL203" i="62" s="1"/>
  <c r="AK207" i="62"/>
  <c r="BH206" i="62"/>
  <c r="BE206" i="62" s="1"/>
  <c r="BD206" i="62"/>
  <c r="BC206" i="62"/>
  <c r="AV206" i="62"/>
  <c r="AR206" i="62"/>
  <c r="AQ206" i="62"/>
  <c r="AP206" i="62"/>
  <c r="AM206" i="62" s="1"/>
  <c r="AL206" i="62"/>
  <c r="AK206" i="62"/>
  <c r="BH205" i="62"/>
  <c r="BE205" i="62" s="1"/>
  <c r="BD205" i="62"/>
  <c r="BC205" i="62"/>
  <c r="AV205" i="62"/>
  <c r="AS205" i="62" s="1"/>
  <c r="AR205" i="62"/>
  <c r="AQ205" i="62"/>
  <c r="AP205" i="62"/>
  <c r="AM205" i="62" s="1"/>
  <c r="AL205" i="62"/>
  <c r="AK205" i="62"/>
  <c r="BH204" i="62"/>
  <c r="BE204" i="62" s="1"/>
  <c r="BD204" i="62"/>
  <c r="BC204" i="62"/>
  <c r="AV204" i="62"/>
  <c r="AS204" i="62" s="1"/>
  <c r="AR204" i="62"/>
  <c r="AQ204" i="62"/>
  <c r="AP204" i="62"/>
  <c r="AM204" i="62" s="1"/>
  <c r="AL204" i="62"/>
  <c r="AK204" i="62"/>
  <c r="AJ204" i="62"/>
  <c r="BH203" i="62"/>
  <c r="AN203" i="62"/>
  <c r="AJ203" i="62"/>
  <c r="AP203" i="62" s="1"/>
  <c r="BH202" i="62"/>
  <c r="BD202" i="62"/>
  <c r="BC202" i="62"/>
  <c r="AV202" i="62"/>
  <c r="AS202" i="62" s="1"/>
  <c r="AR202" i="62"/>
  <c r="AQ202" i="62"/>
  <c r="AP202" i="62"/>
  <c r="AL202" i="62"/>
  <c r="AK202" i="62"/>
  <c r="AJ202" i="62"/>
  <c r="BH201" i="62"/>
  <c r="BE201" i="62"/>
  <c r="BD201" i="62"/>
  <c r="BC201" i="62"/>
  <c r="AV201" i="62"/>
  <c r="AS201" i="62"/>
  <c r="AR201" i="62"/>
  <c r="AQ201" i="62"/>
  <c r="AP201" i="62"/>
  <c r="AM201" i="62"/>
  <c r="AL201" i="62"/>
  <c r="AK201" i="62"/>
  <c r="AJ201" i="62"/>
  <c r="BH200" i="62"/>
  <c r="BE200" i="62" s="1"/>
  <c r="BD200" i="62"/>
  <c r="BC200" i="62"/>
  <c r="AV200" i="62"/>
  <c r="AR200" i="62"/>
  <c r="AQ200" i="62"/>
  <c r="AP200" i="62"/>
  <c r="AM200" i="62" s="1"/>
  <c r="AL200" i="62"/>
  <c r="AK200" i="62"/>
  <c r="AJ200" i="62"/>
  <c r="BH199" i="62"/>
  <c r="BE199" i="62" s="1"/>
  <c r="BD199" i="62"/>
  <c r="BC199" i="62"/>
  <c r="AV199" i="62"/>
  <c r="AR199" i="62"/>
  <c r="AQ199" i="62"/>
  <c r="AP199" i="62"/>
  <c r="AM199" i="62" s="1"/>
  <c r="AL199" i="62"/>
  <c r="AK199" i="62"/>
  <c r="AJ199" i="62"/>
  <c r="BH198" i="62"/>
  <c r="BD198" i="62"/>
  <c r="BC198" i="62"/>
  <c r="AV198" i="62"/>
  <c r="AS198" i="62" s="1"/>
  <c r="AR198" i="62"/>
  <c r="AQ198" i="62"/>
  <c r="AP198" i="62"/>
  <c r="AM198" i="62" s="1"/>
  <c r="AL198" i="62"/>
  <c r="AK198" i="62"/>
  <c r="AJ198" i="62"/>
  <c r="BH197" i="62"/>
  <c r="BE197" i="62"/>
  <c r="BD197" i="62"/>
  <c r="BC197" i="62"/>
  <c r="AV197" i="62"/>
  <c r="AS197" i="62"/>
  <c r="AR197" i="62"/>
  <c r="AQ197" i="62"/>
  <c r="AP197" i="62"/>
  <c r="AM197" i="62"/>
  <c r="AL197" i="62"/>
  <c r="AK197" i="62"/>
  <c r="AJ197" i="62"/>
  <c r="BH196" i="62"/>
  <c r="BE196" i="62" s="1"/>
  <c r="BD196" i="62"/>
  <c r="BC196" i="62"/>
  <c r="AV196" i="62"/>
  <c r="AS196" i="62" s="1"/>
  <c r="AR196" i="62"/>
  <c r="AQ196" i="62"/>
  <c r="AP196" i="62"/>
  <c r="AM196" i="62" s="1"/>
  <c r="AL196" i="62"/>
  <c r="AK196" i="62"/>
  <c r="AJ196" i="62"/>
  <c r="BH195" i="62"/>
  <c r="BE195" i="62"/>
  <c r="BD195" i="62"/>
  <c r="BC195" i="62"/>
  <c r="AV195" i="62"/>
  <c r="AS195" i="62"/>
  <c r="AR195" i="62"/>
  <c r="AQ195" i="62"/>
  <c r="AP195" i="62"/>
  <c r="AM195" i="62"/>
  <c r="AL195" i="62"/>
  <c r="AK195" i="62"/>
  <c r="AJ195" i="62"/>
  <c r="BH194" i="62"/>
  <c r="BE194" i="62" s="1"/>
  <c r="BD194" i="62"/>
  <c r="BC194" i="62"/>
  <c r="AV194" i="62"/>
  <c r="AS194" i="62" s="1"/>
  <c r="AR194" i="62"/>
  <c r="AQ194" i="62"/>
  <c r="AP194" i="62"/>
  <c r="AL194" i="62"/>
  <c r="AK194" i="62"/>
  <c r="AJ194" i="62"/>
  <c r="BH193" i="62"/>
  <c r="BE193" i="62"/>
  <c r="BD193" i="62"/>
  <c r="BC193" i="62"/>
  <c r="AV193" i="62"/>
  <c r="AS193" i="62"/>
  <c r="AR193" i="62"/>
  <c r="AQ193" i="62"/>
  <c r="AP193" i="62"/>
  <c r="AM193" i="62"/>
  <c r="AL193" i="62"/>
  <c r="AK193" i="62"/>
  <c r="AJ193" i="62"/>
  <c r="BH192" i="62"/>
  <c r="BE192" i="62" s="1"/>
  <c r="BD192" i="62"/>
  <c r="BC192" i="62"/>
  <c r="AV192" i="62"/>
  <c r="AR192" i="62"/>
  <c r="AQ192" i="62"/>
  <c r="AP192" i="62"/>
  <c r="AM192" i="62" s="1"/>
  <c r="AL192" i="62"/>
  <c r="AK192" i="62"/>
  <c r="AJ192" i="62"/>
  <c r="BH191" i="62"/>
  <c r="BE191" i="62" s="1"/>
  <c r="BD191" i="62"/>
  <c r="BC191" i="62"/>
  <c r="AV191" i="62"/>
  <c r="AS191" i="62" s="1"/>
  <c r="AR191" i="62"/>
  <c r="AQ191" i="62"/>
  <c r="AP191" i="62"/>
  <c r="AL191" i="62"/>
  <c r="AK191" i="62"/>
  <c r="AJ191" i="62"/>
  <c r="BH190" i="62"/>
  <c r="BD190" i="62"/>
  <c r="BC190" i="62"/>
  <c r="AV190" i="62"/>
  <c r="AS190" i="62" s="1"/>
  <c r="AR190" i="62"/>
  <c r="AQ190" i="62"/>
  <c r="AP190" i="62"/>
  <c r="AM190" i="62" s="1"/>
  <c r="AL190" i="62"/>
  <c r="AK190" i="62"/>
  <c r="AJ190" i="62"/>
  <c r="BH189" i="62"/>
  <c r="BE189" i="62"/>
  <c r="BD189" i="62"/>
  <c r="BC189" i="62"/>
  <c r="AV189" i="62"/>
  <c r="AS189" i="62"/>
  <c r="AR189" i="62"/>
  <c r="AQ189" i="62"/>
  <c r="AP189" i="62"/>
  <c r="AM189" i="62"/>
  <c r="AL189" i="62"/>
  <c r="AK189" i="62"/>
  <c r="AJ189" i="62"/>
  <c r="BH188" i="62"/>
  <c r="BE188" i="62" s="1"/>
  <c r="BD188" i="62"/>
  <c r="BC188" i="62"/>
  <c r="AV188" i="62"/>
  <c r="AS188" i="62" s="1"/>
  <c r="AR188" i="62"/>
  <c r="AQ188" i="62"/>
  <c r="AP188" i="62"/>
  <c r="AM188" i="62" s="1"/>
  <c r="AL188" i="62"/>
  <c r="AK188" i="62"/>
  <c r="AJ188" i="62"/>
  <c r="BH187" i="62"/>
  <c r="BE187" i="62"/>
  <c r="BD187" i="62"/>
  <c r="BC187" i="62"/>
  <c r="BH186" i="62"/>
  <c r="BE186" i="62"/>
  <c r="BD186" i="62"/>
  <c r="BC186" i="62"/>
  <c r="BD185" i="62"/>
  <c r="BC185" i="62"/>
  <c r="AV185" i="62"/>
  <c r="BE185" i="62" s="1"/>
  <c r="AR185" i="62"/>
  <c r="AQ185" i="62"/>
  <c r="BE184" i="62"/>
  <c r="BD184" i="62"/>
  <c r="BC184" i="62"/>
  <c r="AV184" i="62"/>
  <c r="AS184" i="62"/>
  <c r="AR184" i="62"/>
  <c r="AQ184" i="62"/>
  <c r="BH183" i="62"/>
  <c r="BE183" i="62"/>
  <c r="BD183" i="62"/>
  <c r="BC183" i="62"/>
  <c r="AV183" i="62"/>
  <c r="AS183" i="62"/>
  <c r="AR183" i="62"/>
  <c r="AQ183" i="62"/>
  <c r="BD182" i="62"/>
  <c r="BC182" i="62"/>
  <c r="AV182" i="62"/>
  <c r="BE182" i="62" s="1"/>
  <c r="AR182" i="62"/>
  <c r="AQ182" i="62"/>
  <c r="AP182" i="62"/>
  <c r="AM182" i="62" s="1"/>
  <c r="AL182" i="62"/>
  <c r="AK182" i="62"/>
  <c r="BE181" i="62"/>
  <c r="BD181" i="62"/>
  <c r="BC181" i="62"/>
  <c r="AV181" i="62"/>
  <c r="AS181" i="62"/>
  <c r="AR181" i="62"/>
  <c r="AQ181" i="62"/>
  <c r="AP181" i="62"/>
  <c r="AM181" i="62"/>
  <c r="AL181" i="62"/>
  <c r="AK181" i="62"/>
  <c r="BD180" i="62"/>
  <c r="BC180" i="62"/>
  <c r="AV180" i="62"/>
  <c r="BE180" i="62" s="1"/>
  <c r="AR180" i="62"/>
  <c r="AQ180" i="62"/>
  <c r="AP180" i="62"/>
  <c r="AM180" i="62" s="1"/>
  <c r="AL180" i="62"/>
  <c r="AK180" i="62"/>
  <c r="BD179" i="62"/>
  <c r="BC179" i="62"/>
  <c r="AV179" i="62"/>
  <c r="AR179" i="62"/>
  <c r="AQ179" i="62"/>
  <c r="AP179" i="62"/>
  <c r="AM179" i="62" s="1"/>
  <c r="AL179" i="62"/>
  <c r="AK179" i="62"/>
  <c r="BD178" i="62"/>
  <c r="BC178" i="62"/>
  <c r="AV178" i="62"/>
  <c r="BE178" i="62" s="1"/>
  <c r="AR178" i="62"/>
  <c r="AQ178" i="62"/>
  <c r="AP178" i="62"/>
  <c r="AM178" i="62" s="1"/>
  <c r="AL178" i="62"/>
  <c r="AK178" i="62"/>
  <c r="BD177" i="62"/>
  <c r="BC177" i="62"/>
  <c r="AV177" i="62"/>
  <c r="BE177" i="62" s="1"/>
  <c r="AR177" i="62"/>
  <c r="AQ177" i="62"/>
  <c r="AP177" i="62"/>
  <c r="AM177" i="62" s="1"/>
  <c r="AL177" i="62"/>
  <c r="AK177" i="62"/>
  <c r="BD176" i="62"/>
  <c r="BC176" i="62"/>
  <c r="AV176" i="62"/>
  <c r="BE176" i="62" s="1"/>
  <c r="AR176" i="62"/>
  <c r="AQ176" i="62"/>
  <c r="AP176" i="62"/>
  <c r="AM176" i="62" s="1"/>
  <c r="AL176" i="62"/>
  <c r="AK176" i="62"/>
  <c r="BE175" i="62"/>
  <c r="BD175" i="62"/>
  <c r="BC175" i="62"/>
  <c r="AV175" i="62"/>
  <c r="AS175" i="62"/>
  <c r="AR175" i="62"/>
  <c r="AQ175" i="62"/>
  <c r="AP175" i="62"/>
  <c r="AM175" i="62"/>
  <c r="AL175" i="62"/>
  <c r="AK175" i="62"/>
  <c r="BD174" i="62"/>
  <c r="BC174" i="62"/>
  <c r="AV174" i="62"/>
  <c r="BE174" i="62" s="1"/>
  <c r="AR174" i="62"/>
  <c r="AQ174" i="62"/>
  <c r="AP174" i="62"/>
  <c r="AM174" i="62" s="1"/>
  <c r="AL174" i="62"/>
  <c r="AK174" i="62"/>
  <c r="BE173" i="62"/>
  <c r="BD173" i="62"/>
  <c r="BC173" i="62"/>
  <c r="AV173" i="62"/>
  <c r="AS173" i="62"/>
  <c r="AR173" i="62"/>
  <c r="AQ173" i="62"/>
  <c r="AP173" i="62"/>
  <c r="AM173" i="62"/>
  <c r="AL173" i="62"/>
  <c r="AK173" i="62"/>
  <c r="BD172" i="62"/>
  <c r="BC172" i="62"/>
  <c r="AV172" i="62"/>
  <c r="BE172" i="62" s="1"/>
  <c r="AR172" i="62"/>
  <c r="AQ172" i="62"/>
  <c r="AP172" i="62"/>
  <c r="AM172" i="62" s="1"/>
  <c r="AL172" i="62"/>
  <c r="AK172" i="62"/>
  <c r="BE171" i="62"/>
  <c r="BD171" i="62"/>
  <c r="BC171" i="62"/>
  <c r="AV171" i="62"/>
  <c r="AS171" i="62"/>
  <c r="AR171" i="62"/>
  <c r="AQ171" i="62"/>
  <c r="AP171" i="62"/>
  <c r="AM171" i="62"/>
  <c r="AL171" i="62"/>
  <c r="AK171" i="62"/>
  <c r="BD170" i="62"/>
  <c r="BC170" i="62"/>
  <c r="AV170" i="62"/>
  <c r="BE170" i="62" s="1"/>
  <c r="AR170" i="62"/>
  <c r="AQ170" i="62"/>
  <c r="AP170" i="62"/>
  <c r="AM170" i="62" s="1"/>
  <c r="AL170" i="62"/>
  <c r="AK170" i="62"/>
  <c r="BD169" i="62"/>
  <c r="BC169" i="62"/>
  <c r="AV169" i="62"/>
  <c r="BE169" i="62" s="1"/>
  <c r="AR169" i="62"/>
  <c r="AQ169" i="62"/>
  <c r="AP169" i="62"/>
  <c r="AM169" i="62" s="1"/>
  <c r="AL169" i="62"/>
  <c r="AK169" i="62"/>
  <c r="CD168" i="62"/>
  <c r="BX168" i="62"/>
  <c r="BQ168" i="62"/>
  <c r="BO168" i="62"/>
  <c r="BN168" i="62"/>
  <c r="BM168" i="62"/>
  <c r="BL168" i="62"/>
  <c r="BK168" i="62"/>
  <c r="BJ168" i="62"/>
  <c r="BI168" i="62"/>
  <c r="BD168" i="62"/>
  <c r="BC168" i="62"/>
  <c r="AV168" i="62"/>
  <c r="BE168" i="62" s="1"/>
  <c r="AR168" i="62"/>
  <c r="AQ168" i="62"/>
  <c r="AP168" i="62"/>
  <c r="AM168" i="62" s="1"/>
  <c r="AL168" i="62"/>
  <c r="AK168" i="62"/>
  <c r="AJ168" i="62"/>
  <c r="AG167" i="62"/>
  <c r="AG166" i="62"/>
  <c r="AD166" i="62" s="1"/>
  <c r="AC166" i="62"/>
  <c r="AB166" i="62"/>
  <c r="AG165" i="62"/>
  <c r="AD165" i="62" s="1"/>
  <c r="AC165" i="62"/>
  <c r="AB165" i="62"/>
  <c r="AG164" i="62"/>
  <c r="AD164" i="62" s="1"/>
  <c r="AC164" i="62"/>
  <c r="AB164" i="62"/>
  <c r="AG163" i="62"/>
  <c r="AC163" i="62"/>
  <c r="AB163" i="62"/>
  <c r="U163" i="62"/>
  <c r="R163" i="62" s="1"/>
  <c r="Q163" i="62"/>
  <c r="P163" i="62"/>
  <c r="O163" i="62"/>
  <c r="L163" i="62" s="1"/>
  <c r="K163" i="62"/>
  <c r="J163" i="62"/>
  <c r="AG162" i="62"/>
  <c r="AD162" i="62" s="1"/>
  <c r="AC162" i="62"/>
  <c r="AB162" i="62"/>
  <c r="U162" i="62"/>
  <c r="Q162" i="62"/>
  <c r="P162" i="62"/>
  <c r="O162" i="62"/>
  <c r="L162" i="62" s="1"/>
  <c r="K162" i="62"/>
  <c r="J162" i="62"/>
  <c r="AG161" i="62"/>
  <c r="AD161" i="62" s="1"/>
  <c r="AC161" i="62"/>
  <c r="AB161" i="62"/>
  <c r="U161" i="62"/>
  <c r="R161" i="62" s="1"/>
  <c r="Q161" i="62"/>
  <c r="P161" i="62"/>
  <c r="O161" i="62"/>
  <c r="L161" i="62" s="1"/>
  <c r="K161" i="62"/>
  <c r="J161" i="62"/>
  <c r="AG160" i="62"/>
  <c r="AD160" i="62" s="1"/>
  <c r="AC160" i="62"/>
  <c r="AB160" i="62"/>
  <c r="U160" i="62"/>
  <c r="R160" i="62" s="1"/>
  <c r="P160" i="62"/>
  <c r="O160" i="62"/>
  <c r="L160" i="62"/>
  <c r="J160" i="62"/>
  <c r="AG159" i="62"/>
  <c r="AD159" i="62" s="1"/>
  <c r="AC159" i="62"/>
  <c r="AB159" i="62"/>
  <c r="U159" i="62"/>
  <c r="R159" i="62" s="1"/>
  <c r="Q159" i="62"/>
  <c r="P159" i="62"/>
  <c r="O159" i="62"/>
  <c r="L159" i="62" s="1"/>
  <c r="K159" i="62"/>
  <c r="J159" i="62"/>
  <c r="AG158" i="62"/>
  <c r="AC158" i="62"/>
  <c r="AB158" i="62"/>
  <c r="U158" i="62"/>
  <c r="R158" i="62" s="1"/>
  <c r="Q158" i="62"/>
  <c r="P158" i="62"/>
  <c r="O158" i="62"/>
  <c r="L158" i="62" s="1"/>
  <c r="K158" i="62"/>
  <c r="J158" i="62"/>
  <c r="AD157" i="62"/>
  <c r="AC157" i="62"/>
  <c r="AB157" i="62"/>
  <c r="U157" i="62"/>
  <c r="R157" i="62"/>
  <c r="Q157" i="62"/>
  <c r="P157" i="62"/>
  <c r="O157" i="62"/>
  <c r="L157" i="62"/>
  <c r="K157" i="62"/>
  <c r="J157" i="62"/>
  <c r="I157" i="62"/>
  <c r="CD156" i="62"/>
  <c r="BZ156" i="62"/>
  <c r="BX156" i="62"/>
  <c r="BW156" i="62"/>
  <c r="BV156" i="62"/>
  <c r="BU156" i="62"/>
  <c r="BT156" i="62"/>
  <c r="BS156" i="62"/>
  <c r="BR156" i="62"/>
  <c r="BO156" i="62"/>
  <c r="AC156" i="62"/>
  <c r="AB156" i="62"/>
  <c r="U156" i="62"/>
  <c r="BM156" i="62" s="1"/>
  <c r="Q156" i="62"/>
  <c r="P156" i="62"/>
  <c r="O156" i="62"/>
  <c r="BK156" i="62" s="1"/>
  <c r="K156" i="62"/>
  <c r="J156" i="62"/>
  <c r="I156" i="62"/>
  <c r="BI156" i="62" s="1"/>
  <c r="AG155" i="62"/>
  <c r="AD155" i="62" s="1"/>
  <c r="AC155" i="62"/>
  <c r="AB155" i="62"/>
  <c r="AG154" i="62"/>
  <c r="AD154" i="62" s="1"/>
  <c r="AC154" i="62"/>
  <c r="AB154" i="62"/>
  <c r="AD153" i="62"/>
  <c r="AC153" i="62"/>
  <c r="AB153" i="62"/>
  <c r="AG152" i="62"/>
  <c r="BQ143" i="62" s="1"/>
  <c r="CA143" i="62" s="1"/>
  <c r="AD152" i="62"/>
  <c r="AC152" i="62"/>
  <c r="AB152" i="62"/>
  <c r="U152" i="62"/>
  <c r="R152" i="62"/>
  <c r="Q152" i="62"/>
  <c r="P152" i="62"/>
  <c r="AC151" i="62"/>
  <c r="AB151" i="62"/>
  <c r="U151" i="62"/>
  <c r="AD151" i="62" s="1"/>
  <c r="Q151" i="62"/>
  <c r="P151" i="62"/>
  <c r="AD150" i="62"/>
  <c r="AC150" i="62"/>
  <c r="AB150" i="62"/>
  <c r="U150" i="62"/>
  <c r="R150" i="62"/>
  <c r="Q150" i="62"/>
  <c r="P150" i="62"/>
  <c r="AC149" i="62"/>
  <c r="AB149" i="62"/>
  <c r="U149" i="62"/>
  <c r="AD149" i="62" s="1"/>
  <c r="Q149" i="62"/>
  <c r="P149" i="62"/>
  <c r="AD148" i="62"/>
  <c r="AC148" i="62"/>
  <c r="AB148" i="62"/>
  <c r="U148" i="62"/>
  <c r="R148" i="62"/>
  <c r="Q148" i="62"/>
  <c r="P148" i="62"/>
  <c r="O148" i="62"/>
  <c r="L148" i="62"/>
  <c r="K148" i="62"/>
  <c r="J148" i="62"/>
  <c r="AC147" i="62"/>
  <c r="AB147" i="62"/>
  <c r="U147" i="62"/>
  <c r="AD147" i="62" s="1"/>
  <c r="Q147" i="62"/>
  <c r="P147" i="62"/>
  <c r="O147" i="62"/>
  <c r="L147" i="62" s="1"/>
  <c r="K147" i="62"/>
  <c r="J147" i="62"/>
  <c r="AD146" i="62"/>
  <c r="AC146" i="62"/>
  <c r="AB146" i="62"/>
  <c r="U146" i="62"/>
  <c r="R146" i="62"/>
  <c r="Q146" i="62"/>
  <c r="P146" i="62"/>
  <c r="L146" i="62"/>
  <c r="K146" i="62"/>
  <c r="J146" i="62"/>
  <c r="AD145" i="62"/>
  <c r="AC145" i="62"/>
  <c r="AB145" i="62"/>
  <c r="U145" i="62"/>
  <c r="R145" i="62"/>
  <c r="Q145" i="62"/>
  <c r="P145" i="62"/>
  <c r="O145" i="62"/>
  <c r="L145" i="62"/>
  <c r="K145" i="62"/>
  <c r="J145" i="62"/>
  <c r="I145" i="62"/>
  <c r="AD144" i="62"/>
  <c r="AC144" i="62"/>
  <c r="AB144" i="62"/>
  <c r="U144" i="62"/>
  <c r="R144" i="62"/>
  <c r="Q144" i="62"/>
  <c r="P144" i="62"/>
  <c r="O144" i="62"/>
  <c r="L144" i="62"/>
  <c r="K144" i="62"/>
  <c r="J144" i="62"/>
  <c r="I144" i="62"/>
  <c r="CD143" i="62"/>
  <c r="BZ143" i="62"/>
  <c r="BX143" i="62"/>
  <c r="BW143" i="62"/>
  <c r="BV143" i="62"/>
  <c r="BU143" i="62"/>
  <c r="BT143" i="62"/>
  <c r="BS143" i="62"/>
  <c r="BR143" i="62"/>
  <c r="BO143" i="62"/>
  <c r="AD143" i="62"/>
  <c r="AC143" i="62"/>
  <c r="AB143" i="62"/>
  <c r="U143" i="62"/>
  <c r="R143" i="62"/>
  <c r="Q143" i="62"/>
  <c r="P143" i="62"/>
  <c r="O143" i="62"/>
  <c r="L143" i="62"/>
  <c r="K143" i="62"/>
  <c r="J143" i="62"/>
  <c r="I143" i="62"/>
  <c r="CD142" i="62"/>
  <c r="BZ142" i="62"/>
  <c r="BX142" i="62"/>
  <c r="BW142" i="62"/>
  <c r="BV142" i="62"/>
  <c r="BU142" i="62"/>
  <c r="BT142" i="62"/>
  <c r="BS142" i="62"/>
  <c r="BR142" i="62"/>
  <c r="BQ142" i="62"/>
  <c r="CA142" i="62" s="1"/>
  <c r="BO142" i="62"/>
  <c r="AD142" i="62"/>
  <c r="BN142" i="62" s="1"/>
  <c r="AC142" i="62"/>
  <c r="AB142" i="62"/>
  <c r="U142" i="62"/>
  <c r="BM142" i="62" s="1"/>
  <c r="R142" i="62"/>
  <c r="BL142" i="62" s="1"/>
  <c r="Q142" i="62"/>
  <c r="P142" i="62"/>
  <c r="O142" i="62"/>
  <c r="BK142" i="62" s="1"/>
  <c r="L142" i="62"/>
  <c r="BJ142" i="62" s="1"/>
  <c r="K142" i="62"/>
  <c r="J142" i="62"/>
  <c r="I142" i="62"/>
  <c r="BI142" i="62" s="1"/>
  <c r="BH141" i="62"/>
  <c r="BE141" i="62" s="1"/>
  <c r="BD141" i="62"/>
  <c r="BC141" i="62"/>
  <c r="CD140" i="62"/>
  <c r="BX140" i="62"/>
  <c r="BQ140" i="62"/>
  <c r="BO140" i="62"/>
  <c r="BN140" i="62"/>
  <c r="BM140" i="62"/>
  <c r="BL140" i="62"/>
  <c r="BK140" i="62"/>
  <c r="BJ140" i="62"/>
  <c r="BI140" i="62"/>
  <c r="BH140" i="62"/>
  <c r="BE140" i="62" s="1"/>
  <c r="BW140" i="62" s="1"/>
  <c r="BD140" i="62"/>
  <c r="BC140" i="62"/>
  <c r="AV140" i="62"/>
  <c r="AR140" i="62"/>
  <c r="AQ140" i="62"/>
  <c r="AP140" i="62"/>
  <c r="AL140" i="62"/>
  <c r="AK140" i="62"/>
  <c r="AJ140" i="62"/>
  <c r="BR140" i="62" s="1"/>
  <c r="AC139" i="62"/>
  <c r="AB139" i="62"/>
  <c r="U139" i="62"/>
  <c r="AD139" i="62" s="1"/>
  <c r="Q139" i="62"/>
  <c r="P139" i="62"/>
  <c r="O139" i="62"/>
  <c r="L139" i="62" s="1"/>
  <c r="K139" i="62"/>
  <c r="J139" i="62"/>
  <c r="I139" i="62"/>
  <c r="AC137" i="62"/>
  <c r="AB137" i="62"/>
  <c r="U137" i="62"/>
  <c r="AD137" i="62" s="1"/>
  <c r="Q137" i="62"/>
  <c r="P137" i="62"/>
  <c r="O137" i="62"/>
  <c r="L137" i="62" s="1"/>
  <c r="K137" i="62"/>
  <c r="J137" i="62"/>
  <c r="I137" i="62"/>
  <c r="AC136" i="62"/>
  <c r="AB136" i="62"/>
  <c r="U136" i="62"/>
  <c r="AD136" i="62" s="1"/>
  <c r="Q136" i="62"/>
  <c r="P136" i="62"/>
  <c r="O136" i="62"/>
  <c r="L136" i="62" s="1"/>
  <c r="K136" i="62"/>
  <c r="J136" i="62"/>
  <c r="I136" i="62"/>
  <c r="CD135" i="62"/>
  <c r="BZ135" i="62"/>
  <c r="BX135" i="62"/>
  <c r="BW135" i="62"/>
  <c r="BV135" i="62"/>
  <c r="BU135" i="62"/>
  <c r="BT135" i="62"/>
  <c r="BS135" i="62"/>
  <c r="BR135" i="62"/>
  <c r="BO135" i="62"/>
  <c r="BI135" i="62"/>
  <c r="AG135" i="62"/>
  <c r="BQ135" i="62" s="1"/>
  <c r="CA135" i="62" s="1"/>
  <c r="AD135" i="62"/>
  <c r="AC135" i="62"/>
  <c r="AB135" i="62"/>
  <c r="U135" i="62"/>
  <c r="R135" i="62"/>
  <c r="Q135" i="62"/>
  <c r="P135" i="62"/>
  <c r="O135" i="62"/>
  <c r="L135" i="62"/>
  <c r="K135" i="62"/>
  <c r="J135" i="62"/>
  <c r="I135" i="62"/>
  <c r="AG134" i="62"/>
  <c r="AD134" i="62" s="1"/>
  <c r="AC134" i="62"/>
  <c r="AB134" i="62"/>
  <c r="BD133" i="62"/>
  <c r="BC133" i="62"/>
  <c r="AV133" i="62"/>
  <c r="BE133" i="62" s="1"/>
  <c r="AR133" i="62"/>
  <c r="AQ133" i="62"/>
  <c r="AP133" i="62"/>
  <c r="AM133" i="62" s="1"/>
  <c r="AL133" i="62"/>
  <c r="AK133" i="62"/>
  <c r="AG132" i="62"/>
  <c r="AD132" i="62" s="1"/>
  <c r="AC132" i="62"/>
  <c r="AB132" i="62"/>
  <c r="AG131" i="62"/>
  <c r="AD131" i="62" s="1"/>
  <c r="AC131" i="62"/>
  <c r="AB131" i="62"/>
  <c r="U131" i="62"/>
  <c r="R131" i="62" s="1"/>
  <c r="Q131" i="62"/>
  <c r="P131" i="62"/>
  <c r="AG130" i="62"/>
  <c r="AD130" i="62" s="1"/>
  <c r="AC130" i="62"/>
  <c r="AB130" i="62"/>
  <c r="U130" i="62"/>
  <c r="R130" i="62" s="1"/>
  <c r="Q130" i="62"/>
  <c r="P130" i="62"/>
  <c r="O130" i="62"/>
  <c r="L130" i="62" s="1"/>
  <c r="K130" i="62"/>
  <c r="J130" i="62"/>
  <c r="AD129" i="62"/>
  <c r="AC129" i="62"/>
  <c r="S129" i="62"/>
  <c r="AB129" i="62" s="1"/>
  <c r="R129" i="62"/>
  <c r="P129" i="62"/>
  <c r="AC128" i="62"/>
  <c r="AB128" i="62"/>
  <c r="U128" i="62"/>
  <c r="AD128" i="62" s="1"/>
  <c r="Q128" i="62"/>
  <c r="P128" i="62"/>
  <c r="O128" i="62"/>
  <c r="L128" i="62" s="1"/>
  <c r="K128" i="62"/>
  <c r="J128" i="62"/>
  <c r="I128" i="62"/>
  <c r="AC127" i="62"/>
  <c r="AB127" i="62"/>
  <c r="U127" i="62"/>
  <c r="AD127" i="62" s="1"/>
  <c r="Q127" i="62"/>
  <c r="P127" i="62"/>
  <c r="L127" i="62"/>
  <c r="K127" i="62"/>
  <c r="J127" i="62"/>
  <c r="AG126" i="62"/>
  <c r="AD126" i="62"/>
  <c r="AC126" i="62"/>
  <c r="AB126" i="62"/>
  <c r="U126" i="62"/>
  <c r="R126" i="62"/>
  <c r="Q126" i="62"/>
  <c r="P126" i="62"/>
  <c r="AG125" i="62"/>
  <c r="AD125" i="62"/>
  <c r="AC125" i="62"/>
  <c r="AB125" i="62"/>
  <c r="AG124" i="62"/>
  <c r="AD124" i="62"/>
  <c r="AC124" i="62"/>
  <c r="AB124" i="62"/>
  <c r="U124" i="62"/>
  <c r="R124" i="62"/>
  <c r="Q124" i="62"/>
  <c r="P124" i="62"/>
  <c r="AG123" i="62"/>
  <c r="AD123" i="62"/>
  <c r="AC123" i="62"/>
  <c r="AB123" i="62"/>
  <c r="U123" i="62"/>
  <c r="R123" i="62"/>
  <c r="Q123" i="62"/>
  <c r="P123" i="62"/>
  <c r="AG122" i="62"/>
  <c r="AD122" i="62"/>
  <c r="AC122" i="62"/>
  <c r="AB122" i="62"/>
  <c r="U122" i="62"/>
  <c r="R122" i="62"/>
  <c r="Q122" i="62"/>
  <c r="P122" i="62"/>
  <c r="AG121" i="62"/>
  <c r="AD121" i="62"/>
  <c r="AC121" i="62"/>
  <c r="AB121" i="62"/>
  <c r="U121" i="62"/>
  <c r="R121" i="62"/>
  <c r="Q121" i="62"/>
  <c r="P121" i="62"/>
  <c r="AG120" i="62"/>
  <c r="AD120" i="62"/>
  <c r="AC120" i="62"/>
  <c r="AB120" i="62"/>
  <c r="U120" i="62"/>
  <c r="R120" i="62"/>
  <c r="Q120" i="62"/>
  <c r="P120" i="62"/>
  <c r="AG119" i="62"/>
  <c r="AD119" i="62"/>
  <c r="AC119" i="62"/>
  <c r="AB119" i="62"/>
  <c r="U119" i="62"/>
  <c r="R119" i="62"/>
  <c r="Q119" i="62"/>
  <c r="P119" i="62"/>
  <c r="AG118" i="62"/>
  <c r="AD118" i="62"/>
  <c r="AC118" i="62"/>
  <c r="AB118" i="62"/>
  <c r="U118" i="62"/>
  <c r="R118" i="62"/>
  <c r="Q118" i="62"/>
  <c r="P118" i="62"/>
  <c r="O118" i="62"/>
  <c r="L118" i="62"/>
  <c r="K118" i="62"/>
  <c r="J118" i="62"/>
  <c r="AG117" i="62"/>
  <c r="AD117" i="62"/>
  <c r="AC117" i="62"/>
  <c r="AB117" i="62"/>
  <c r="U117" i="62"/>
  <c r="R117" i="62"/>
  <c r="Q117" i="62"/>
  <c r="P117" i="62"/>
  <c r="O117" i="62"/>
  <c r="L117" i="62"/>
  <c r="K117" i="62"/>
  <c r="J117" i="62"/>
  <c r="AG116" i="62"/>
  <c r="AD116" i="62"/>
  <c r="AC116" i="62"/>
  <c r="AB116" i="62"/>
  <c r="U116" i="62"/>
  <c r="R116" i="62"/>
  <c r="Q116" i="62"/>
  <c r="P116" i="62"/>
  <c r="O116" i="62"/>
  <c r="L116" i="62"/>
  <c r="K116" i="62"/>
  <c r="J116" i="62"/>
  <c r="AG115" i="62"/>
  <c r="AD115" i="62"/>
  <c r="AC115" i="62"/>
  <c r="AB115" i="62"/>
  <c r="U115" i="62"/>
  <c r="R115" i="62"/>
  <c r="Q115" i="62"/>
  <c r="P115" i="62"/>
  <c r="O115" i="62"/>
  <c r="L115" i="62"/>
  <c r="K115" i="62"/>
  <c r="J115" i="62"/>
  <c r="AG114" i="62"/>
  <c r="AD114" i="62"/>
  <c r="AC114" i="62"/>
  <c r="AB114" i="62"/>
  <c r="U114" i="62"/>
  <c r="R114" i="62"/>
  <c r="Q114" i="62"/>
  <c r="P114" i="62"/>
  <c r="O114" i="62"/>
  <c r="L114" i="62"/>
  <c r="K114" i="62"/>
  <c r="J114" i="62"/>
  <c r="AG113" i="62"/>
  <c r="AD113" i="62"/>
  <c r="AC113" i="62"/>
  <c r="AB113" i="62"/>
  <c r="U113" i="62"/>
  <c r="R113" i="62"/>
  <c r="Q113" i="62"/>
  <c r="P113" i="62"/>
  <c r="O113" i="62"/>
  <c r="L113" i="62"/>
  <c r="K113" i="62"/>
  <c r="J113" i="62"/>
  <c r="AG112" i="62"/>
  <c r="AD112" i="62"/>
  <c r="AC112" i="62"/>
  <c r="AB112" i="62"/>
  <c r="U112" i="62"/>
  <c r="R112" i="62"/>
  <c r="Q112" i="62"/>
  <c r="P112" i="62"/>
  <c r="O112" i="62"/>
  <c r="L112" i="62"/>
  <c r="K112" i="62"/>
  <c r="J112" i="62"/>
  <c r="AC111" i="62"/>
  <c r="AB111" i="62"/>
  <c r="U111" i="62"/>
  <c r="AD111" i="62" s="1"/>
  <c r="Q111" i="62"/>
  <c r="P111" i="62"/>
  <c r="O111" i="62"/>
  <c r="L111" i="62" s="1"/>
  <c r="K111" i="62"/>
  <c r="J111" i="62"/>
  <c r="I111" i="62"/>
  <c r="AC110" i="62"/>
  <c r="AB110" i="62"/>
  <c r="U110" i="62"/>
  <c r="AD110" i="62" s="1"/>
  <c r="Q110" i="62"/>
  <c r="P110" i="62"/>
  <c r="O110" i="62"/>
  <c r="L110" i="62" s="1"/>
  <c r="K110" i="62"/>
  <c r="J110" i="62"/>
  <c r="I110" i="62"/>
  <c r="AG109" i="62"/>
  <c r="AD109" i="62" s="1"/>
  <c r="AC109" i="62"/>
  <c r="AB109" i="62"/>
  <c r="AG108" i="62"/>
  <c r="AD108" i="62" s="1"/>
  <c r="AC108" i="62"/>
  <c r="AB108" i="62"/>
  <c r="AG107" i="62"/>
  <c r="AD107" i="62" s="1"/>
  <c r="AC107" i="62"/>
  <c r="AB107" i="62"/>
  <c r="AG106" i="62"/>
  <c r="AD106" i="62" s="1"/>
  <c r="AC106" i="62"/>
  <c r="AB106" i="62"/>
  <c r="AG105" i="62"/>
  <c r="AD105" i="62" s="1"/>
  <c r="AC105" i="62"/>
  <c r="S105" i="62"/>
  <c r="P105" i="62" s="1"/>
  <c r="R105" i="62"/>
  <c r="AG104" i="62"/>
  <c r="AD104" i="62" s="1"/>
  <c r="AC104" i="62"/>
  <c r="AB104" i="62"/>
  <c r="U104" i="62"/>
  <c r="R104" i="62" s="1"/>
  <c r="P104" i="62"/>
  <c r="AG103" i="62"/>
  <c r="AD103" i="62" s="1"/>
  <c r="AC103" i="62"/>
  <c r="AB103" i="62"/>
  <c r="U103" i="62"/>
  <c r="R103" i="62" s="1"/>
  <c r="P103" i="62"/>
  <c r="AG102" i="62"/>
  <c r="AD102" i="62" s="1"/>
  <c r="AC102" i="62"/>
  <c r="AB102" i="62"/>
  <c r="U102" i="62"/>
  <c r="R102" i="62" s="1"/>
  <c r="Q102" i="62"/>
  <c r="P102" i="62"/>
  <c r="AC101" i="62"/>
  <c r="AB101" i="62"/>
  <c r="U101" i="62"/>
  <c r="AD101" i="62" s="1"/>
  <c r="Q101" i="62"/>
  <c r="P101" i="62"/>
  <c r="O101" i="62"/>
  <c r="L101" i="62" s="1"/>
  <c r="K101" i="62"/>
  <c r="J101" i="62"/>
  <c r="I101" i="62"/>
  <c r="AC100" i="62"/>
  <c r="AB100" i="62"/>
  <c r="U100" i="62"/>
  <c r="AD100" i="62" s="1"/>
  <c r="Q100" i="62"/>
  <c r="P100" i="62"/>
  <c r="O100" i="62"/>
  <c r="L100" i="62" s="1"/>
  <c r="K100" i="62"/>
  <c r="J100" i="62"/>
  <c r="I100" i="62"/>
  <c r="AC99" i="62"/>
  <c r="AB99" i="62"/>
  <c r="U99" i="62"/>
  <c r="AD99" i="62" s="1"/>
  <c r="Q99" i="62"/>
  <c r="P99" i="62"/>
  <c r="O99" i="62"/>
  <c r="L99" i="62" s="1"/>
  <c r="K99" i="62"/>
  <c r="J99" i="62"/>
  <c r="I99" i="62"/>
  <c r="BI41" i="62" s="1"/>
  <c r="AD98" i="62"/>
  <c r="AC98" i="62"/>
  <c r="AB98" i="62"/>
  <c r="R98" i="62"/>
  <c r="Q98" i="62"/>
  <c r="P98" i="62"/>
  <c r="L98" i="62"/>
  <c r="K98" i="62"/>
  <c r="J98" i="62"/>
  <c r="AC97" i="62"/>
  <c r="AB97" i="62"/>
  <c r="U97" i="62"/>
  <c r="AD97" i="62" s="1"/>
  <c r="Q97" i="62"/>
  <c r="P97" i="62"/>
  <c r="O97" i="62"/>
  <c r="L97" i="62" s="1"/>
  <c r="K97" i="62"/>
  <c r="J97" i="62"/>
  <c r="AD96" i="62"/>
  <c r="AC96" i="62"/>
  <c r="AB96" i="62"/>
  <c r="U96" i="62"/>
  <c r="R96" i="62"/>
  <c r="Q96" i="62"/>
  <c r="P96" i="62"/>
  <c r="O96" i="62"/>
  <c r="L96" i="62"/>
  <c r="K96" i="62"/>
  <c r="J96" i="62"/>
  <c r="AC95" i="62"/>
  <c r="AB95" i="62"/>
  <c r="U95" i="62"/>
  <c r="AD95" i="62" s="1"/>
  <c r="Q95" i="62"/>
  <c r="P95" i="62"/>
  <c r="O95" i="62"/>
  <c r="L95" i="62" s="1"/>
  <c r="K95" i="62"/>
  <c r="J95" i="62"/>
  <c r="AC94" i="62"/>
  <c r="AB94" i="62"/>
  <c r="U94" i="62"/>
  <c r="AD94" i="62" s="1"/>
  <c r="Q94" i="62"/>
  <c r="P94" i="62"/>
  <c r="O94" i="62"/>
  <c r="L94" i="62" s="1"/>
  <c r="K94" i="62"/>
  <c r="J94" i="62"/>
  <c r="AC93" i="62"/>
  <c r="AB93" i="62"/>
  <c r="U93" i="62"/>
  <c r="AD93" i="62" s="1"/>
  <c r="Q93" i="62"/>
  <c r="P93" i="62"/>
  <c r="O93" i="62"/>
  <c r="L93" i="62" s="1"/>
  <c r="K93" i="62"/>
  <c r="J93" i="62"/>
  <c r="AD92" i="62"/>
  <c r="AC92" i="62"/>
  <c r="AB92" i="62"/>
  <c r="U92" i="62"/>
  <c r="R92" i="62"/>
  <c r="Q92" i="62"/>
  <c r="P92" i="62"/>
  <c r="O92" i="62"/>
  <c r="L92" i="62"/>
  <c r="K92" i="62"/>
  <c r="J92" i="62"/>
  <c r="AC91" i="62"/>
  <c r="AB91" i="62"/>
  <c r="U91" i="62"/>
  <c r="AD91" i="62" s="1"/>
  <c r="Q91" i="62"/>
  <c r="P91" i="62"/>
  <c r="O91" i="62"/>
  <c r="L91" i="62" s="1"/>
  <c r="K91" i="62"/>
  <c r="J91" i="62"/>
  <c r="AD90" i="62"/>
  <c r="AC90" i="62"/>
  <c r="AB90" i="62"/>
  <c r="U90" i="62"/>
  <c r="R90" i="62"/>
  <c r="Q90" i="62"/>
  <c r="P90" i="62"/>
  <c r="O90" i="62"/>
  <c r="L90" i="62"/>
  <c r="K90" i="62"/>
  <c r="J90" i="62"/>
  <c r="I90" i="62"/>
  <c r="AD89" i="62"/>
  <c r="AC89" i="62"/>
  <c r="AB89" i="62"/>
  <c r="L89" i="62"/>
  <c r="K89" i="62"/>
  <c r="J89" i="62"/>
  <c r="AG88" i="62"/>
  <c r="AD88" i="62" s="1"/>
  <c r="AC88" i="62"/>
  <c r="AB88" i="62"/>
  <c r="AG87" i="62"/>
  <c r="AD87" i="62" s="1"/>
  <c r="AC87" i="62"/>
  <c r="AB87" i="62"/>
  <c r="AG86" i="62"/>
  <c r="AD86" i="62" s="1"/>
  <c r="AC86" i="62"/>
  <c r="AB86" i="62"/>
  <c r="AG85" i="62"/>
  <c r="AC85" i="62"/>
  <c r="AB85" i="62"/>
  <c r="AC84" i="62"/>
  <c r="AB84" i="62"/>
  <c r="U84" i="62"/>
  <c r="AD84" i="62" s="1"/>
  <c r="Q84" i="62"/>
  <c r="P84" i="62"/>
  <c r="AC83" i="62"/>
  <c r="AB83" i="62"/>
  <c r="U83" i="62"/>
  <c r="AD83" i="62" s="1"/>
  <c r="Q83" i="62"/>
  <c r="P83" i="62"/>
  <c r="AC82" i="62"/>
  <c r="AB82" i="62"/>
  <c r="U82" i="62"/>
  <c r="AD82" i="62" s="1"/>
  <c r="Q82" i="62"/>
  <c r="P82" i="62"/>
  <c r="AC81" i="62"/>
  <c r="AB81" i="62"/>
  <c r="U81" i="62"/>
  <c r="AD81" i="62" s="1"/>
  <c r="Q81" i="62"/>
  <c r="P81" i="62"/>
  <c r="AC80" i="62"/>
  <c r="AB80" i="62"/>
  <c r="U80" i="62"/>
  <c r="AD80" i="62" s="1"/>
  <c r="Q80" i="62"/>
  <c r="P80" i="62"/>
  <c r="AC79" i="62"/>
  <c r="AB79" i="62"/>
  <c r="U79" i="62"/>
  <c r="AD79" i="62" s="1"/>
  <c r="Q79" i="62"/>
  <c r="P79" i="62"/>
  <c r="AC78" i="62"/>
  <c r="AB78" i="62"/>
  <c r="U78" i="62"/>
  <c r="AD78" i="62" s="1"/>
  <c r="Q78" i="62"/>
  <c r="P78" i="62"/>
  <c r="AC77" i="62"/>
  <c r="AB77" i="62"/>
  <c r="U77" i="62"/>
  <c r="AD77" i="62" s="1"/>
  <c r="Q77" i="62"/>
  <c r="P77" i="62"/>
  <c r="AC76" i="62"/>
  <c r="AB76" i="62"/>
  <c r="U76" i="62"/>
  <c r="AD76" i="62" s="1"/>
  <c r="Q76" i="62"/>
  <c r="P76" i="62"/>
  <c r="AC75" i="62"/>
  <c r="AB75" i="62"/>
  <c r="U75" i="62"/>
  <c r="AD75" i="62" s="1"/>
  <c r="Q75" i="62"/>
  <c r="P75" i="62"/>
  <c r="O75" i="62"/>
  <c r="L75" i="62" s="1"/>
  <c r="K75" i="62"/>
  <c r="AC74" i="62"/>
  <c r="AB74" i="62"/>
  <c r="U74" i="62"/>
  <c r="AD74" i="62" s="1"/>
  <c r="Q74" i="62"/>
  <c r="P74" i="62"/>
  <c r="O74" i="62"/>
  <c r="L74" i="62" s="1"/>
  <c r="K74" i="62"/>
  <c r="J74" i="62"/>
  <c r="AD73" i="62"/>
  <c r="AC73" i="62"/>
  <c r="AB73" i="62"/>
  <c r="U73" i="62"/>
  <c r="R73" i="62"/>
  <c r="Q73" i="62"/>
  <c r="P73" i="62"/>
  <c r="O73" i="62"/>
  <c r="L73" i="62"/>
  <c r="K73" i="62"/>
  <c r="J73" i="62"/>
  <c r="AC72" i="62"/>
  <c r="AB72" i="62"/>
  <c r="U72" i="62"/>
  <c r="AD72" i="62" s="1"/>
  <c r="Q72" i="62"/>
  <c r="P72" i="62"/>
  <c r="O72" i="62"/>
  <c r="L72" i="62" s="1"/>
  <c r="K72" i="62"/>
  <c r="J72" i="62"/>
  <c r="AD71" i="62"/>
  <c r="AC71" i="62"/>
  <c r="AB71" i="62"/>
  <c r="U71" i="62"/>
  <c r="R71" i="62"/>
  <c r="Q71" i="62"/>
  <c r="P71" i="62"/>
  <c r="O71" i="62"/>
  <c r="L71" i="62"/>
  <c r="K71" i="62"/>
  <c r="J71" i="62"/>
  <c r="AC70" i="62"/>
  <c r="AB70" i="62"/>
  <c r="U70" i="62"/>
  <c r="AD70" i="62" s="1"/>
  <c r="Q70" i="62"/>
  <c r="P70" i="62"/>
  <c r="O70" i="62"/>
  <c r="L70" i="62" s="1"/>
  <c r="K70" i="62"/>
  <c r="J70" i="62"/>
  <c r="AC69" i="62"/>
  <c r="AB69" i="62"/>
  <c r="U69" i="62"/>
  <c r="AD69" i="62" s="1"/>
  <c r="Q69" i="62"/>
  <c r="P69" i="62"/>
  <c r="O69" i="62"/>
  <c r="L69" i="62" s="1"/>
  <c r="K69" i="62"/>
  <c r="J69" i="62"/>
  <c r="AC68" i="62"/>
  <c r="AB68" i="62"/>
  <c r="U68" i="62"/>
  <c r="AD68" i="62" s="1"/>
  <c r="Q68" i="62"/>
  <c r="P68" i="62"/>
  <c r="O68" i="62"/>
  <c r="L68" i="62" s="1"/>
  <c r="K68" i="62"/>
  <c r="J68" i="62"/>
  <c r="AD67" i="62"/>
  <c r="AC67" i="62"/>
  <c r="AB67" i="62"/>
  <c r="U67" i="62"/>
  <c r="R67" i="62"/>
  <c r="Q67" i="62"/>
  <c r="P67" i="62"/>
  <c r="O67" i="62"/>
  <c r="L67" i="62"/>
  <c r="K67" i="62"/>
  <c r="J67" i="62"/>
  <c r="AC66" i="62"/>
  <c r="AB66" i="62"/>
  <c r="U66" i="62"/>
  <c r="AD66" i="62" s="1"/>
  <c r="Q66" i="62"/>
  <c r="P66" i="62"/>
  <c r="O66" i="62"/>
  <c r="L66" i="62" s="1"/>
  <c r="K66" i="62"/>
  <c r="J66" i="62"/>
  <c r="AD65" i="62"/>
  <c r="AC65" i="62"/>
  <c r="AB65" i="62"/>
  <c r="U65" i="62"/>
  <c r="R65" i="62"/>
  <c r="Q65" i="62"/>
  <c r="P65" i="62"/>
  <c r="O65" i="62"/>
  <c r="L65" i="62"/>
  <c r="K65" i="62"/>
  <c r="J65" i="62"/>
  <c r="AC64" i="62"/>
  <c r="AB64" i="62"/>
  <c r="U64" i="62"/>
  <c r="AD64" i="62" s="1"/>
  <c r="Q64" i="62"/>
  <c r="P64" i="62"/>
  <c r="O64" i="62"/>
  <c r="L64" i="62" s="1"/>
  <c r="K64" i="62"/>
  <c r="J64" i="62"/>
  <c r="AD63" i="62"/>
  <c r="AC63" i="62"/>
  <c r="AB63" i="62"/>
  <c r="U63" i="62"/>
  <c r="R63" i="62"/>
  <c r="Q63" i="62"/>
  <c r="P63" i="62"/>
  <c r="O63" i="62"/>
  <c r="L63" i="62"/>
  <c r="K63" i="62"/>
  <c r="J63" i="62"/>
  <c r="AC62" i="62"/>
  <c r="AB62" i="62"/>
  <c r="U62" i="62"/>
  <c r="AD62" i="62" s="1"/>
  <c r="Q62" i="62"/>
  <c r="P62" i="62"/>
  <c r="O62" i="62"/>
  <c r="L62" i="62" s="1"/>
  <c r="K62" i="62"/>
  <c r="J62" i="62"/>
  <c r="AC61" i="62"/>
  <c r="AB61" i="62"/>
  <c r="U61" i="62"/>
  <c r="AD61" i="62" s="1"/>
  <c r="Q61" i="62"/>
  <c r="P61" i="62"/>
  <c r="O61" i="62"/>
  <c r="L61" i="62" s="1"/>
  <c r="K61" i="62"/>
  <c r="J61" i="62"/>
  <c r="AC60" i="62"/>
  <c r="AB60" i="62"/>
  <c r="U60" i="62"/>
  <c r="AD60" i="62" s="1"/>
  <c r="Q60" i="62"/>
  <c r="P60" i="62"/>
  <c r="O60" i="62"/>
  <c r="L60" i="62" s="1"/>
  <c r="K60" i="62"/>
  <c r="J60" i="62"/>
  <c r="AD59" i="62"/>
  <c r="AC59" i="62"/>
  <c r="AB59" i="62"/>
  <c r="U59" i="62"/>
  <c r="R59" i="62"/>
  <c r="Q59" i="62"/>
  <c r="P59" i="62"/>
  <c r="O59" i="62"/>
  <c r="L59" i="62"/>
  <c r="K59" i="62"/>
  <c r="J59" i="62"/>
  <c r="AC58" i="62"/>
  <c r="AB58" i="62"/>
  <c r="U58" i="62"/>
  <c r="AD58" i="62" s="1"/>
  <c r="Q58" i="62"/>
  <c r="P58" i="62"/>
  <c r="O58" i="62"/>
  <c r="L58" i="62" s="1"/>
  <c r="K58" i="62"/>
  <c r="J58" i="62"/>
  <c r="AD57" i="62"/>
  <c r="AC57" i="62"/>
  <c r="AB57" i="62"/>
  <c r="U57" i="62"/>
  <c r="R57" i="62"/>
  <c r="Q57" i="62"/>
  <c r="P57" i="62"/>
  <c r="O57" i="62"/>
  <c r="L57" i="62"/>
  <c r="K57" i="62"/>
  <c r="J57" i="62"/>
  <c r="AC56" i="62"/>
  <c r="AB56" i="62"/>
  <c r="U56" i="62"/>
  <c r="AD56" i="62" s="1"/>
  <c r="Q56" i="62"/>
  <c r="P56" i="62"/>
  <c r="O56" i="62"/>
  <c r="L56" i="62" s="1"/>
  <c r="K56" i="62"/>
  <c r="J56" i="62"/>
  <c r="AD55" i="62"/>
  <c r="AC55" i="62"/>
  <c r="AB55" i="62"/>
  <c r="U55" i="62"/>
  <c r="R55" i="62"/>
  <c r="Q55" i="62"/>
  <c r="P55" i="62"/>
  <c r="O55" i="62"/>
  <c r="L55" i="62"/>
  <c r="K55" i="62"/>
  <c r="J55" i="62"/>
  <c r="AC54" i="62"/>
  <c r="AB54" i="62"/>
  <c r="U54" i="62"/>
  <c r="AD54" i="62" s="1"/>
  <c r="Q54" i="62"/>
  <c r="P54" i="62"/>
  <c r="O54" i="62"/>
  <c r="L54" i="62" s="1"/>
  <c r="K54" i="62"/>
  <c r="J54" i="62"/>
  <c r="AC53" i="62"/>
  <c r="AB53" i="62"/>
  <c r="U53" i="62"/>
  <c r="AD53" i="62" s="1"/>
  <c r="Q53" i="62"/>
  <c r="P53" i="62"/>
  <c r="O53" i="62"/>
  <c r="L53" i="62" s="1"/>
  <c r="K53" i="62"/>
  <c r="J53" i="62"/>
  <c r="AC52" i="62"/>
  <c r="AB52" i="62"/>
  <c r="U52" i="62"/>
  <c r="AD52" i="62" s="1"/>
  <c r="Q52" i="62"/>
  <c r="P52" i="62"/>
  <c r="O52" i="62"/>
  <c r="L52" i="62" s="1"/>
  <c r="K52" i="62"/>
  <c r="J52" i="62"/>
  <c r="AD51" i="62"/>
  <c r="AC51" i="62"/>
  <c r="AB51" i="62"/>
  <c r="U51" i="62"/>
  <c r="R51" i="62"/>
  <c r="Q51" i="62"/>
  <c r="P51" i="62"/>
  <c r="O51" i="62"/>
  <c r="L51" i="62"/>
  <c r="K51" i="62"/>
  <c r="J51" i="62"/>
  <c r="AC50" i="62"/>
  <c r="AB50" i="62"/>
  <c r="U50" i="62"/>
  <c r="AD50" i="62" s="1"/>
  <c r="Q50" i="62"/>
  <c r="P50" i="62"/>
  <c r="O50" i="62"/>
  <c r="L50" i="62" s="1"/>
  <c r="K50" i="62"/>
  <c r="J50" i="62"/>
  <c r="AD49" i="62"/>
  <c r="AC49" i="62"/>
  <c r="AB49" i="62"/>
  <c r="U49" i="62"/>
  <c r="R49" i="62"/>
  <c r="Q49" i="62"/>
  <c r="P49" i="62"/>
  <c r="O49" i="62"/>
  <c r="L49" i="62"/>
  <c r="K49" i="62"/>
  <c r="J49" i="62"/>
  <c r="AC48" i="62"/>
  <c r="AB48" i="62"/>
  <c r="U48" i="62"/>
  <c r="AD48" i="62" s="1"/>
  <c r="Q48" i="62"/>
  <c r="P48" i="62"/>
  <c r="O48" i="62"/>
  <c r="L48" i="62" s="1"/>
  <c r="K48" i="62"/>
  <c r="J48" i="62"/>
  <c r="AB47" i="62"/>
  <c r="T47" i="62"/>
  <c r="Q47" i="62"/>
  <c r="P47" i="62"/>
  <c r="N47" i="62"/>
  <c r="J47" i="62"/>
  <c r="BD46" i="62"/>
  <c r="BC46" i="62"/>
  <c r="AV46" i="62"/>
  <c r="BE46" i="62" s="1"/>
  <c r="AR46" i="62"/>
  <c r="AQ46" i="62"/>
  <c r="AP46" i="62"/>
  <c r="AM46" i="62" s="1"/>
  <c r="AL46" i="62"/>
  <c r="AK46" i="62"/>
  <c r="AJ46" i="62"/>
  <c r="BD45" i="62"/>
  <c r="BC45" i="62"/>
  <c r="AV45" i="62"/>
  <c r="BE45" i="62" s="1"/>
  <c r="AR45" i="62"/>
  <c r="AQ45" i="62"/>
  <c r="AP45" i="62"/>
  <c r="AL45" i="62"/>
  <c r="AK45" i="62"/>
  <c r="AJ45" i="62"/>
  <c r="BD44" i="62"/>
  <c r="BC44" i="62"/>
  <c r="AV44" i="62"/>
  <c r="BE44" i="62" s="1"/>
  <c r="AR44" i="62"/>
  <c r="AQ44" i="62"/>
  <c r="AP44" i="62"/>
  <c r="AM44" i="62" s="1"/>
  <c r="AL44" i="62"/>
  <c r="AK44" i="62"/>
  <c r="AJ44" i="62"/>
  <c r="BD43" i="62"/>
  <c r="BC43" i="62"/>
  <c r="AV43" i="62"/>
  <c r="BE43" i="62" s="1"/>
  <c r="AR43" i="62"/>
  <c r="AQ43" i="62"/>
  <c r="AP43" i="62"/>
  <c r="AM43" i="62" s="1"/>
  <c r="AL43" i="62"/>
  <c r="AK43" i="62"/>
  <c r="AJ43" i="62"/>
  <c r="BD42" i="62"/>
  <c r="BC42" i="62"/>
  <c r="AV42" i="62"/>
  <c r="BE42" i="62" s="1"/>
  <c r="AR42" i="62"/>
  <c r="AQ42" i="62"/>
  <c r="AP42" i="62"/>
  <c r="AM42" i="62" s="1"/>
  <c r="AL42" i="62"/>
  <c r="AK42" i="62"/>
  <c r="AJ42" i="62"/>
  <c r="CD41" i="62"/>
  <c r="BZ41" i="62"/>
  <c r="BX41" i="62"/>
  <c r="BQ41" i="62"/>
  <c r="CA41" i="62" s="1"/>
  <c r="BD41" i="62"/>
  <c r="BC41" i="62"/>
  <c r="AV41" i="62"/>
  <c r="BE41" i="62" s="1"/>
  <c r="AR41" i="62"/>
  <c r="AQ41" i="62"/>
  <c r="AP41" i="62"/>
  <c r="AL41" i="62"/>
  <c r="AK41" i="62"/>
  <c r="AJ41" i="62"/>
  <c r="BR41" i="62" s="1"/>
  <c r="BH40" i="62"/>
  <c r="BE40" i="62"/>
  <c r="BD40" i="62"/>
  <c r="BC40" i="62"/>
  <c r="AV40" i="62"/>
  <c r="AS40" i="62"/>
  <c r="AR40" i="62"/>
  <c r="AQ40" i="62"/>
  <c r="AP40" i="62"/>
  <c r="AM40" i="62"/>
  <c r="AL40" i="62"/>
  <c r="AO39" i="62" s="1"/>
  <c r="AL39" i="62" s="1"/>
  <c r="AK40" i="62"/>
  <c r="AN39" i="62" s="1"/>
  <c r="BH39" i="62"/>
  <c r="AJ39" i="62"/>
  <c r="AP39" i="62" s="1"/>
  <c r="BE38" i="62"/>
  <c r="BD38" i="62"/>
  <c r="BC38" i="62"/>
  <c r="AV38" i="62"/>
  <c r="AR38" i="62"/>
  <c r="AQ38" i="62"/>
  <c r="AP38" i="62"/>
  <c r="AM38" i="62" s="1"/>
  <c r="AL38" i="62"/>
  <c r="AK38" i="62"/>
  <c r="BD37" i="62"/>
  <c r="BC37" i="62"/>
  <c r="AV37" i="62"/>
  <c r="BE37" i="62" s="1"/>
  <c r="AR37" i="62"/>
  <c r="AQ37" i="62"/>
  <c r="BD36" i="62"/>
  <c r="BC36" i="62"/>
  <c r="AV36" i="62"/>
  <c r="BE36" i="62" s="1"/>
  <c r="AR36" i="62"/>
  <c r="AQ36" i="62"/>
  <c r="BD35" i="62"/>
  <c r="BC35" i="62"/>
  <c r="AV35" i="62"/>
  <c r="BE35" i="62" s="1"/>
  <c r="AR35" i="62"/>
  <c r="AQ35" i="62"/>
  <c r="AP35" i="62"/>
  <c r="AM35" i="62" s="1"/>
  <c r="AL35" i="62"/>
  <c r="AK35" i="62"/>
  <c r="AN34" i="62" s="1"/>
  <c r="CD34" i="62"/>
  <c r="BX34" i="62"/>
  <c r="BQ34" i="62"/>
  <c r="BO34" i="62"/>
  <c r="BN34" i="62"/>
  <c r="BM34" i="62"/>
  <c r="BL34" i="62"/>
  <c r="BK34" i="62"/>
  <c r="BJ34" i="62"/>
  <c r="BI34" i="62"/>
  <c r="BH34" i="62"/>
  <c r="BZ34" i="62" s="1"/>
  <c r="CA34" i="62" s="1"/>
  <c r="AO34" i="62"/>
  <c r="AL34" i="62" s="1"/>
  <c r="AJ34" i="62"/>
  <c r="BH33" i="62"/>
  <c r="BE33" i="62" s="1"/>
  <c r="BD33" i="62"/>
  <c r="BC33" i="62"/>
  <c r="BH32" i="62"/>
  <c r="BE32" i="62" s="1"/>
  <c r="BD32" i="62"/>
  <c r="BC32" i="62"/>
  <c r="BH31" i="62"/>
  <c r="BE31" i="62" s="1"/>
  <c r="BD31" i="62"/>
  <c r="BC31" i="62"/>
  <c r="BE30" i="62"/>
  <c r="BD30" i="62"/>
  <c r="BC30" i="62"/>
  <c r="AV30" i="62"/>
  <c r="AS30" i="62"/>
  <c r="AR30" i="62"/>
  <c r="AU29" i="62" s="1"/>
  <c r="BD29" i="62" s="1"/>
  <c r="AQ30" i="62"/>
  <c r="AT29" i="62" s="1"/>
  <c r="BH29" i="62"/>
  <c r="AP29" i="62"/>
  <c r="AV29" i="62" s="1"/>
  <c r="AL29" i="62"/>
  <c r="AK29" i="62"/>
  <c r="AJ29" i="62"/>
  <c r="BH28" i="62"/>
  <c r="BE28" i="62" s="1"/>
  <c r="BD28" i="62"/>
  <c r="BC28" i="62"/>
  <c r="BH27" i="62"/>
  <c r="BE27" i="62" s="1"/>
  <c r="BD27" i="62"/>
  <c r="BC27" i="62"/>
  <c r="BH26" i="62"/>
  <c r="BE26" i="62" s="1"/>
  <c r="BD26" i="62"/>
  <c r="BC26" i="62"/>
  <c r="BH25" i="62"/>
  <c r="BE25" i="62" s="1"/>
  <c r="BD25" i="62"/>
  <c r="BC25" i="62"/>
  <c r="AV25" i="62"/>
  <c r="AR25" i="62"/>
  <c r="AQ25" i="62"/>
  <c r="AP25" i="62"/>
  <c r="AM25" i="62" s="1"/>
  <c r="AL25" i="62"/>
  <c r="AK25" i="62"/>
  <c r="BH24" i="62"/>
  <c r="AO24" i="62"/>
  <c r="AU24" i="62" s="1"/>
  <c r="AN24" i="62"/>
  <c r="AK24" i="62" s="1"/>
  <c r="AJ24" i="62"/>
  <c r="BH23" i="62"/>
  <c r="BE23" i="62" s="1"/>
  <c r="BD23" i="62"/>
  <c r="BC23" i="62"/>
  <c r="BH22" i="62"/>
  <c r="BE22" i="62" s="1"/>
  <c r="BD22" i="62"/>
  <c r="BC22" i="62"/>
  <c r="AV22" i="62"/>
  <c r="AS22" i="62" s="1"/>
  <c r="AR22" i="62"/>
  <c r="AU21" i="62" s="1"/>
  <c r="BD21" i="62" s="1"/>
  <c r="AQ22" i="62"/>
  <c r="AT21" i="62" s="1"/>
  <c r="BH21" i="62"/>
  <c r="AP21" i="62"/>
  <c r="AM21" i="62"/>
  <c r="AL21" i="62"/>
  <c r="AK21" i="62"/>
  <c r="AJ21" i="62"/>
  <c r="BH20" i="62"/>
  <c r="BE20" i="62" s="1"/>
  <c r="BD20" i="62"/>
  <c r="BC20" i="62"/>
  <c r="BH19" i="62"/>
  <c r="BE19" i="62" s="1"/>
  <c r="BD19" i="62"/>
  <c r="BC19" i="62"/>
  <c r="AV19" i="62"/>
  <c r="AS19" i="62" s="1"/>
  <c r="AR19" i="62"/>
  <c r="AQ19" i="62"/>
  <c r="BE18" i="62"/>
  <c r="BD18" i="62"/>
  <c r="BC18" i="62"/>
  <c r="AV18" i="62"/>
  <c r="AS18" i="62"/>
  <c r="AR18" i="62"/>
  <c r="AQ18" i="62"/>
  <c r="BD17" i="62"/>
  <c r="BC17" i="62"/>
  <c r="AV17" i="62"/>
  <c r="BE17" i="62" s="1"/>
  <c r="AR17" i="62"/>
  <c r="AQ17" i="62"/>
  <c r="AP17" i="62"/>
  <c r="AM17" i="62" s="1"/>
  <c r="AL17" i="62"/>
  <c r="AK17" i="62"/>
  <c r="BE16" i="62"/>
  <c r="BD16" i="62"/>
  <c r="BC16" i="62"/>
  <c r="AV16" i="62"/>
  <c r="AS16" i="62"/>
  <c r="AR16" i="62"/>
  <c r="AQ16" i="62"/>
  <c r="AP16" i="62"/>
  <c r="AM16" i="62"/>
  <c r="AL16" i="62"/>
  <c r="AK16" i="62"/>
  <c r="BD15" i="62"/>
  <c r="BC15" i="62"/>
  <c r="AV15" i="62"/>
  <c r="BE15" i="62" s="1"/>
  <c r="AR15" i="62"/>
  <c r="AQ15" i="62"/>
  <c r="AP15" i="62"/>
  <c r="AM15" i="62" s="1"/>
  <c r="AL15" i="62"/>
  <c r="AK15" i="62"/>
  <c r="BE14" i="62"/>
  <c r="BD14" i="62"/>
  <c r="BC14" i="62"/>
  <c r="AV14" i="62"/>
  <c r="AS14" i="62"/>
  <c r="AR14" i="62"/>
  <c r="AQ14" i="62"/>
  <c r="AP14" i="62"/>
  <c r="AM14" i="62"/>
  <c r="AL14" i="62"/>
  <c r="AK14" i="62"/>
  <c r="BH13" i="62"/>
  <c r="BE13" i="62"/>
  <c r="BD13" i="62"/>
  <c r="BC13" i="62"/>
  <c r="AV13" i="62"/>
  <c r="AS13" i="62"/>
  <c r="AR13" i="62"/>
  <c r="AQ13" i="62"/>
  <c r="AP13" i="62"/>
  <c r="AM13" i="62"/>
  <c r="AL13" i="62"/>
  <c r="AK13" i="62"/>
  <c r="BH12" i="62"/>
  <c r="BE12" i="62"/>
  <c r="BD12" i="62"/>
  <c r="BC12" i="62"/>
  <c r="AV12" i="62"/>
  <c r="AS12" i="62"/>
  <c r="AR12" i="62"/>
  <c r="AQ12" i="62"/>
  <c r="AP12" i="62"/>
  <c r="AM12" i="62"/>
  <c r="AL12" i="62"/>
  <c r="AK12" i="62"/>
  <c r="BD11" i="62"/>
  <c r="BC11" i="62"/>
  <c r="AV11" i="62"/>
  <c r="BE11" i="62" s="1"/>
  <c r="AR11" i="62"/>
  <c r="AQ11" i="62"/>
  <c r="AP11" i="62"/>
  <c r="AM11" i="62" s="1"/>
  <c r="AL11" i="62"/>
  <c r="AK11" i="62"/>
  <c r="AJ11" i="62"/>
  <c r="BH10" i="62"/>
  <c r="BE10" i="62"/>
  <c r="BD10" i="62"/>
  <c r="BC10" i="62"/>
  <c r="AV10" i="62"/>
  <c r="AS10" i="62"/>
  <c r="AR10" i="62"/>
  <c r="AQ10" i="62"/>
  <c r="AP10" i="62"/>
  <c r="AM10" i="62"/>
  <c r="AL10" i="62"/>
  <c r="AK10" i="62"/>
  <c r="AJ10" i="62"/>
  <c r="BH9" i="62"/>
  <c r="BE9" i="62" s="1"/>
  <c r="BD9" i="62"/>
  <c r="BC9" i="62"/>
  <c r="AV9" i="62"/>
  <c r="AS9" i="62" s="1"/>
  <c r="AR9" i="62"/>
  <c r="AQ9" i="62"/>
  <c r="AP9" i="62"/>
  <c r="AM9" i="62" s="1"/>
  <c r="AL9" i="62"/>
  <c r="AK9" i="62"/>
  <c r="BH8" i="62"/>
  <c r="AO8" i="62"/>
  <c r="AU8" i="62" s="1"/>
  <c r="AN8" i="62"/>
  <c r="AK8" i="62" s="1"/>
  <c r="AL8" i="62"/>
  <c r="AJ8" i="62"/>
  <c r="AP8" i="62" s="1"/>
  <c r="BD7" i="62"/>
  <c r="BC7" i="62"/>
  <c r="AV7" i="62"/>
  <c r="BE7" i="62" s="1"/>
  <c r="AR7" i="62"/>
  <c r="AQ7" i="62"/>
  <c r="AP7" i="62"/>
  <c r="AM7" i="62" s="1"/>
  <c r="AL7" i="62"/>
  <c r="AK7" i="62"/>
  <c r="AJ7" i="62"/>
  <c r="BH6" i="62"/>
  <c r="BE6" i="62"/>
  <c r="BD6" i="62"/>
  <c r="BC6" i="62"/>
  <c r="AV6" i="62"/>
  <c r="AS6" i="62"/>
  <c r="AR6" i="62"/>
  <c r="AQ6" i="62"/>
  <c r="AP6" i="62"/>
  <c r="AM6" i="62"/>
  <c r="AL6" i="62"/>
  <c r="AK6" i="62"/>
  <c r="AJ6" i="62"/>
  <c r="BH5" i="62"/>
  <c r="BE5" i="62" s="1"/>
  <c r="BD5" i="62"/>
  <c r="BC5" i="62"/>
  <c r="AV5" i="62"/>
  <c r="AS5" i="62" s="1"/>
  <c r="AR5" i="62"/>
  <c r="AQ5" i="62"/>
  <c r="AP5" i="62"/>
  <c r="AM5" i="62" s="1"/>
  <c r="AL5" i="62"/>
  <c r="AK5" i="62"/>
  <c r="CD4" i="62"/>
  <c r="CD453" i="62" s="1"/>
  <c r="AD91" i="63" s="1"/>
  <c r="BX4" i="62"/>
  <c r="BQ4" i="62"/>
  <c r="BP4" i="62"/>
  <c r="BP453" i="62" s="1"/>
  <c r="BO4" i="62"/>
  <c r="BN4" i="62"/>
  <c r="BM4" i="62"/>
  <c r="BL4" i="62"/>
  <c r="BK4" i="62"/>
  <c r="BJ4" i="62"/>
  <c r="BI4" i="62"/>
  <c r="BH4" i="62"/>
  <c r="BZ4" i="62" s="1"/>
  <c r="AO4" i="62"/>
  <c r="AN4" i="62"/>
  <c r="AK4" i="62"/>
  <c r="AJ4" i="62"/>
  <c r="T364" i="62" l="1"/>
  <c r="K364" i="62"/>
  <c r="R360" i="62"/>
  <c r="BL325" i="62" s="1"/>
  <c r="BM325" i="62"/>
  <c r="O367" i="62"/>
  <c r="BI363" i="62"/>
  <c r="AP24" i="62"/>
  <c r="AV24" i="62" s="1"/>
  <c r="AB105" i="62"/>
  <c r="BK135" i="62"/>
  <c r="BJ143" i="62"/>
  <c r="BQ156" i="62"/>
  <c r="CA156" i="62" s="1"/>
  <c r="BE179" i="62"/>
  <c r="AS179" i="62"/>
  <c r="AT203" i="62"/>
  <c r="AK203" i="62"/>
  <c r="BU298" i="62"/>
  <c r="BE303" i="62"/>
  <c r="AS303" i="62"/>
  <c r="BI377" i="62"/>
  <c r="AG453" i="62"/>
  <c r="BJ135" i="62"/>
  <c r="BN135" i="62"/>
  <c r="BM135" i="62"/>
  <c r="BV140" i="62"/>
  <c r="BI143" i="62"/>
  <c r="BK143" i="62"/>
  <c r="BM143" i="62"/>
  <c r="BR168" i="62"/>
  <c r="AS233" i="62"/>
  <c r="AU290" i="62"/>
  <c r="AV301" i="62"/>
  <c r="BE301" i="62" s="1"/>
  <c r="M453" i="62"/>
  <c r="U395" i="62"/>
  <c r="L395" i="62"/>
  <c r="AQ429" i="62"/>
  <c r="AK429" i="62"/>
  <c r="BN143" i="62"/>
  <c r="AT290" i="62"/>
  <c r="BC290" i="62" s="1"/>
  <c r="AK290" i="62"/>
  <c r="BV325" i="62"/>
  <c r="AM330" i="62"/>
  <c r="BT325" i="62"/>
  <c r="BQ377" i="62"/>
  <c r="CA377" i="62" s="1"/>
  <c r="S415" i="62"/>
  <c r="AB415" i="62" s="1"/>
  <c r="AV21" i="62"/>
  <c r="AL24" i="62"/>
  <c r="BR34" i="62"/>
  <c r="BW41" i="62"/>
  <c r="O47" i="62"/>
  <c r="BO453" i="62"/>
  <c r="AS25" i="62"/>
  <c r="AM29" i="62"/>
  <c r="AP34" i="62"/>
  <c r="AS35" i="62"/>
  <c r="AS37" i="62"/>
  <c r="AM41" i="62"/>
  <c r="BO41" i="62"/>
  <c r="AM45" i="62"/>
  <c r="K47" i="62"/>
  <c r="R53" i="62"/>
  <c r="R61" i="62"/>
  <c r="R69" i="62"/>
  <c r="R76" i="62"/>
  <c r="R78" i="62"/>
  <c r="R80" i="62"/>
  <c r="R82" i="62"/>
  <c r="R84" i="62"/>
  <c r="R94" i="62"/>
  <c r="R99" i="62"/>
  <c r="R100" i="62"/>
  <c r="R101" i="62"/>
  <c r="AS133" i="62"/>
  <c r="BT140" i="62"/>
  <c r="L156" i="62"/>
  <c r="BJ156" i="62" s="1"/>
  <c r="R156" i="62"/>
  <c r="BL156" i="62" s="1"/>
  <c r="AD156" i="62"/>
  <c r="AD158" i="62"/>
  <c r="R162" i="62"/>
  <c r="AD163" i="62"/>
  <c r="AS169" i="62"/>
  <c r="AS177" i="62"/>
  <c r="AM191" i="62"/>
  <c r="AS199" i="62"/>
  <c r="BE202" i="62"/>
  <c r="AS247" i="62"/>
  <c r="BE289" i="62"/>
  <c r="BE299" i="62"/>
  <c r="BW298" i="62" s="1"/>
  <c r="AM300" i="62"/>
  <c r="BE300" i="62"/>
  <c r="BQ325" i="62"/>
  <c r="T367" i="62"/>
  <c r="Q367" i="62" s="1"/>
  <c r="AP429" i="62"/>
  <c r="L443" i="62"/>
  <c r="BK427" i="62"/>
  <c r="BE190" i="62"/>
  <c r="AS192" i="62"/>
  <c r="AM194" i="62"/>
  <c r="BE198" i="62"/>
  <c r="AS200" i="62"/>
  <c r="AM202" i="62"/>
  <c r="AS206" i="62"/>
  <c r="BE207" i="62"/>
  <c r="AS210" i="62"/>
  <c r="AV203" i="62" s="1"/>
  <c r="BE211" i="62"/>
  <c r="AS229" i="62"/>
  <c r="AM289" i="62"/>
  <c r="BT305" i="62"/>
  <c r="AM308" i="62"/>
  <c r="AS309" i="62"/>
  <c r="BE310" i="62"/>
  <c r="AS313" i="62"/>
  <c r="AS330" i="62"/>
  <c r="BE331" i="62"/>
  <c r="AS334" i="62"/>
  <c r="BE335" i="62"/>
  <c r="AS338" i="62"/>
  <c r="BE339" i="62"/>
  <c r="AD360" i="62"/>
  <c r="R372" i="62"/>
  <c r="AD373" i="62"/>
  <c r="AD376" i="62"/>
  <c r="AD382" i="62"/>
  <c r="R385" i="62"/>
  <c r="U381" i="62" s="1"/>
  <c r="AD386" i="62"/>
  <c r="AD422" i="62"/>
  <c r="AD424" i="62"/>
  <c r="BR427" i="62"/>
  <c r="BE428" i="62"/>
  <c r="AO429" i="62"/>
  <c r="AR429" i="62" s="1"/>
  <c r="AS430" i="62"/>
  <c r="BE431" i="62"/>
  <c r="AS434" i="62"/>
  <c r="R443" i="62"/>
  <c r="R57" i="63"/>
  <c r="R59" i="63"/>
  <c r="R61" i="63"/>
  <c r="Q94" i="63"/>
  <c r="R64" i="63"/>
  <c r="O95" i="63"/>
  <c r="AM15" i="64"/>
  <c r="L23" i="64"/>
  <c r="BK23" i="64"/>
  <c r="R24" i="64"/>
  <c r="R27" i="64"/>
  <c r="R29" i="64"/>
  <c r="BK42" i="64"/>
  <c r="L42" i="64"/>
  <c r="BJ42" i="64" s="1"/>
  <c r="S76" i="63"/>
  <c r="P55" i="63"/>
  <c r="R55" i="63" s="1"/>
  <c r="R68" i="63"/>
  <c r="Y68" i="63"/>
  <c r="AB68" i="63" s="1"/>
  <c r="BZ43" i="64"/>
  <c r="U27" i="65" s="1"/>
  <c r="N415" i="62"/>
  <c r="N453" i="62" s="1"/>
  <c r="BV427" i="62"/>
  <c r="BD468" i="62"/>
  <c r="CD468" i="62"/>
  <c r="AD92" i="63" s="1"/>
  <c r="AD99" i="63" s="1"/>
  <c r="H76" i="63"/>
  <c r="O97" i="63"/>
  <c r="AB72" i="63"/>
  <c r="AJ43" i="64"/>
  <c r="AQ43" i="64"/>
  <c r="BD43" i="64"/>
  <c r="BO43" i="64"/>
  <c r="I27" i="65" s="1"/>
  <c r="I35" i="65" s="1"/>
  <c r="CD43" i="64"/>
  <c r="AA27" i="65" s="1"/>
  <c r="AA35" i="65" s="1"/>
  <c r="BZ14" i="64"/>
  <c r="BE15" i="64"/>
  <c r="AG43" i="64"/>
  <c r="BQ19" i="64"/>
  <c r="CA19" i="64" s="1"/>
  <c r="AD19" i="64"/>
  <c r="BQ23" i="64"/>
  <c r="CA23" i="64" s="1"/>
  <c r="R25" i="64"/>
  <c r="AD26" i="64"/>
  <c r="AD28" i="64"/>
  <c r="BK31" i="64"/>
  <c r="L35" i="64"/>
  <c r="T36" i="64"/>
  <c r="AC36" i="64" s="1"/>
  <c r="K36" i="64"/>
  <c r="Q36" i="64" s="1"/>
  <c r="BQ38" i="64"/>
  <c r="CA38" i="64" s="1"/>
  <c r="BQ42" i="64"/>
  <c r="CA42" i="64" s="1"/>
  <c r="AD42" i="64"/>
  <c r="BN42" i="64" s="1"/>
  <c r="V19" i="65"/>
  <c r="X7" i="65"/>
  <c r="X8" i="65"/>
  <c r="X9" i="65"/>
  <c r="X10" i="65"/>
  <c r="X11" i="65"/>
  <c r="X12" i="65"/>
  <c r="X13" i="65"/>
  <c r="J19" i="65"/>
  <c r="X15" i="65"/>
  <c r="AM299" i="62"/>
  <c r="BS298" i="62" s="1"/>
  <c r="BV305" i="62"/>
  <c r="AM307" i="62"/>
  <c r="AS308" i="62"/>
  <c r="BE309" i="62"/>
  <c r="AS312" i="62"/>
  <c r="BE313" i="62"/>
  <c r="BE330" i="62"/>
  <c r="BW325" i="62" s="1"/>
  <c r="AS333" i="62"/>
  <c r="BE334" i="62"/>
  <c r="BE338" i="62"/>
  <c r="AS341" i="62"/>
  <c r="BJ325" i="62"/>
  <c r="R371" i="62"/>
  <c r="AD372" i="62"/>
  <c r="R375" i="62"/>
  <c r="R384" i="62"/>
  <c r="AD385" i="62"/>
  <c r="AD388" i="62"/>
  <c r="AD390" i="62"/>
  <c r="AD392" i="62"/>
  <c r="CA395" i="62"/>
  <c r="R417" i="62"/>
  <c r="BT427" i="62"/>
  <c r="BE430" i="62"/>
  <c r="AS433" i="62"/>
  <c r="BE434" i="62"/>
  <c r="BE438" i="62"/>
  <c r="BE440" i="62"/>
  <c r="AD443" i="62"/>
  <c r="L444" i="62"/>
  <c r="AC445" i="62"/>
  <c r="Q96" i="63"/>
  <c r="Z69" i="63"/>
  <c r="AB70" i="63"/>
  <c r="P97" i="63"/>
  <c r="Y72" i="63"/>
  <c r="AS15" i="64"/>
  <c r="BM23" i="64"/>
  <c r="R23" i="64"/>
  <c r="BL23" i="64" s="1"/>
  <c r="L25" i="64"/>
  <c r="R26" i="64"/>
  <c r="AD27" i="64"/>
  <c r="AD29" i="64"/>
  <c r="BN23" i="64" s="1"/>
  <c r="BM42" i="64"/>
  <c r="R42" i="64"/>
  <c r="BL42" i="64" s="1"/>
  <c r="AD445" i="62"/>
  <c r="BN427" i="62" s="1"/>
  <c r="BM449" i="62"/>
  <c r="BH468" i="62"/>
  <c r="AB468" i="62"/>
  <c r="R51" i="63"/>
  <c r="R56" i="63"/>
  <c r="R58" i="63"/>
  <c r="R60" i="63"/>
  <c r="R62" i="63"/>
  <c r="O94" i="63"/>
  <c r="Q95" i="63"/>
  <c r="R66" i="63"/>
  <c r="AC66" i="63"/>
  <c r="O96" i="63"/>
  <c r="Q97" i="63"/>
  <c r="AK43" i="64"/>
  <c r="AR43" i="64"/>
  <c r="BQ43" i="64"/>
  <c r="L27" i="65" s="1"/>
  <c r="BH43" i="64"/>
  <c r="BV14" i="64"/>
  <c r="M43" i="64"/>
  <c r="R28" i="64"/>
  <c r="L33" i="64"/>
  <c r="O36" i="64"/>
  <c r="BM38" i="64"/>
  <c r="AD39" i="64"/>
  <c r="I31" i="65"/>
  <c r="R31" i="65"/>
  <c r="L17" i="65"/>
  <c r="L32" i="65" s="1"/>
  <c r="AC35" i="65"/>
  <c r="AC468" i="62"/>
  <c r="AB38" i="63"/>
  <c r="AD38" i="63" s="1"/>
  <c r="AB40" i="63"/>
  <c r="AD40" i="63" s="1"/>
  <c r="AB42" i="63"/>
  <c r="AB44" i="63"/>
  <c r="AB46" i="63"/>
  <c r="AD46" i="63" s="1"/>
  <c r="AB48" i="63"/>
  <c r="AD48" i="63" s="1"/>
  <c r="AB50" i="63"/>
  <c r="AA53" i="63"/>
  <c r="R53" i="63"/>
  <c r="AC53" i="63"/>
  <c r="AB57" i="63"/>
  <c r="AB59" i="63"/>
  <c r="AB61" i="63"/>
  <c r="AD61" i="63" s="1"/>
  <c r="F94" i="63"/>
  <c r="P94" i="63"/>
  <c r="L95" i="63"/>
  <c r="U95" i="63"/>
  <c r="AC67" i="63"/>
  <c r="F96" i="63"/>
  <c r="P96" i="63"/>
  <c r="AC69" i="63"/>
  <c r="R71" i="63"/>
  <c r="AC71" i="63"/>
  <c r="V76" i="63"/>
  <c r="AL43" i="64"/>
  <c r="BX43" i="64"/>
  <c r="R27" i="65" s="1"/>
  <c r="AV43" i="64"/>
  <c r="BE6" i="64"/>
  <c r="BE9" i="64"/>
  <c r="BW4" i="64" s="1"/>
  <c r="BW43" i="64" s="1"/>
  <c r="BT14" i="64"/>
  <c r="N43" i="64"/>
  <c r="AD22" i="64"/>
  <c r="L34" i="64"/>
  <c r="Z19" i="65"/>
  <c r="AA14" i="65"/>
  <c r="AA19" i="65" s="1"/>
  <c r="U31" i="65"/>
  <c r="X16" i="65"/>
  <c r="X17" i="65"/>
  <c r="X18" i="65"/>
  <c r="BD8" i="62"/>
  <c r="AR8" i="62"/>
  <c r="BC21" i="62"/>
  <c r="AQ21" i="62"/>
  <c r="AM24" i="62"/>
  <c r="BC29" i="62"/>
  <c r="AQ29" i="62"/>
  <c r="BT34" i="62"/>
  <c r="AM34" i="62"/>
  <c r="AT34" i="62"/>
  <c r="AK34" i="62"/>
  <c r="AV39" i="62"/>
  <c r="AM39" i="62"/>
  <c r="AM203" i="62"/>
  <c r="BC203" i="62"/>
  <c r="AQ203" i="62"/>
  <c r="AM8" i="62"/>
  <c r="AV8" i="62"/>
  <c r="AS8" i="62" s="1"/>
  <c r="BE21" i="62"/>
  <c r="AS21" i="62"/>
  <c r="BD24" i="62"/>
  <c r="AR24" i="62"/>
  <c r="BE29" i="62"/>
  <c r="AS29" i="62"/>
  <c r="AT39" i="62"/>
  <c r="AK39" i="62"/>
  <c r="AK453" i="62" s="1"/>
  <c r="AM290" i="62"/>
  <c r="AQ290" i="62"/>
  <c r="AD364" i="62"/>
  <c r="R364" i="62"/>
  <c r="L367" i="62"/>
  <c r="U367" i="62"/>
  <c r="AB367" i="62"/>
  <c r="P367" i="62"/>
  <c r="AB378" i="62"/>
  <c r="P378" i="62"/>
  <c r="L381" i="62"/>
  <c r="K381" i="62"/>
  <c r="T381" i="62"/>
  <c r="AC395" i="62"/>
  <c r="Q395" i="62"/>
  <c r="P415" i="62"/>
  <c r="AS429" i="62"/>
  <c r="AM429" i="62"/>
  <c r="AU4" i="62"/>
  <c r="BQ453" i="62"/>
  <c r="L91" i="63" s="1"/>
  <c r="AT24" i="62"/>
  <c r="AU34" i="62"/>
  <c r="AU39" i="62"/>
  <c r="BT41" i="62"/>
  <c r="BV41" i="62"/>
  <c r="BZ140" i="62"/>
  <c r="CA140" i="62" s="1"/>
  <c r="BT168" i="62"/>
  <c r="AU203" i="62"/>
  <c r="BD290" i="62"/>
  <c r="AR290" i="62"/>
  <c r="BV300" i="62"/>
  <c r="AC364" i="62"/>
  <c r="Q364" i="62"/>
  <c r="AC367" i="62"/>
  <c r="K378" i="62"/>
  <c r="T378" i="62"/>
  <c r="AB381" i="62"/>
  <c r="P381" i="62"/>
  <c r="AB395" i="62"/>
  <c r="P395" i="62"/>
  <c r="BM395" i="62"/>
  <c r="AD395" i="62"/>
  <c r="BN395" i="62" s="1"/>
  <c r="R395" i="62"/>
  <c r="BL395" i="62" s="1"/>
  <c r="K415" i="62"/>
  <c r="T415" i="62"/>
  <c r="BM427" i="62"/>
  <c r="R445" i="62"/>
  <c r="AT8" i="62"/>
  <c r="AJ453" i="62"/>
  <c r="AL4" i="62"/>
  <c r="AN453" i="62"/>
  <c r="AP4" i="62"/>
  <c r="AT4" i="62"/>
  <c r="BH453" i="62"/>
  <c r="BR4" i="62"/>
  <c r="BX453" i="62"/>
  <c r="CA4" i="62"/>
  <c r="AS7" i="62"/>
  <c r="AS11" i="62"/>
  <c r="AS15" i="62"/>
  <c r="AS17" i="62"/>
  <c r="AR21" i="62"/>
  <c r="AR29" i="62"/>
  <c r="AS36" i="62"/>
  <c r="AV34" i="62" s="1"/>
  <c r="AS41" i="62"/>
  <c r="AS42" i="62"/>
  <c r="AS43" i="62"/>
  <c r="AS44" i="62"/>
  <c r="AS45" i="62"/>
  <c r="AS46" i="62"/>
  <c r="U47" i="62"/>
  <c r="AC47" i="62"/>
  <c r="R48" i="62"/>
  <c r="R50" i="62"/>
  <c r="R52" i="62"/>
  <c r="R54" i="62"/>
  <c r="R56" i="62"/>
  <c r="R58" i="62"/>
  <c r="R60" i="62"/>
  <c r="R62" i="62"/>
  <c r="R64" i="62"/>
  <c r="R66" i="62"/>
  <c r="R68" i="62"/>
  <c r="R70" i="62"/>
  <c r="R72" i="62"/>
  <c r="R74" i="62"/>
  <c r="R75" i="62"/>
  <c r="R77" i="62"/>
  <c r="R79" i="62"/>
  <c r="R81" i="62"/>
  <c r="R83" i="62"/>
  <c r="AD85" i="62"/>
  <c r="I453" i="62"/>
  <c r="R91" i="62"/>
  <c r="R93" i="62"/>
  <c r="R95" i="62"/>
  <c r="R97" i="62"/>
  <c r="R110" i="62"/>
  <c r="R111" i="62"/>
  <c r="R127" i="62"/>
  <c r="R128" i="62"/>
  <c r="R136" i="62"/>
  <c r="R137" i="62"/>
  <c r="R139" i="62"/>
  <c r="AM140" i="62"/>
  <c r="BS140" i="62" s="1"/>
  <c r="AS140" i="62"/>
  <c r="BU140" i="62" s="1"/>
  <c r="R147" i="62"/>
  <c r="BL143" i="62" s="1"/>
  <c r="R149" i="62"/>
  <c r="R151" i="62"/>
  <c r="AS168" i="62"/>
  <c r="BZ168" i="62"/>
  <c r="CA168" i="62" s="1"/>
  <c r="AS170" i="62"/>
  <c r="AS172" i="62"/>
  <c r="AS174" i="62"/>
  <c r="AS176" i="62"/>
  <c r="AS178" i="62"/>
  <c r="AS180" i="62"/>
  <c r="AS182" i="62"/>
  <c r="AS185" i="62"/>
  <c r="AS226" i="62"/>
  <c r="BE227" i="62"/>
  <c r="AS228" i="62"/>
  <c r="BE230" i="62"/>
  <c r="AS231" i="62"/>
  <c r="BE232" i="62"/>
  <c r="BE233" i="62"/>
  <c r="AS234" i="62"/>
  <c r="BE235" i="62"/>
  <c r="AS236" i="62"/>
  <c r="BE237" i="62"/>
  <c r="AS238" i="62"/>
  <c r="BE239" i="62"/>
  <c r="AS240" i="62"/>
  <c r="BE241" i="62"/>
  <c r="AS242" i="62"/>
  <c r="BE245" i="62"/>
  <c r="AS248" i="62"/>
  <c r="BN325" i="62"/>
  <c r="O378" i="62"/>
  <c r="O453" i="62" s="1"/>
  <c r="O415" i="62"/>
  <c r="AB5" i="63"/>
  <c r="AD5" i="63" s="1"/>
  <c r="AB6" i="63"/>
  <c r="AD6" i="63" s="1"/>
  <c r="AB7" i="63"/>
  <c r="AD7" i="63" s="1"/>
  <c r="AB8" i="63"/>
  <c r="AD8" i="63" s="1"/>
  <c r="AB9" i="63"/>
  <c r="AD9" i="63" s="1"/>
  <c r="AB10" i="63"/>
  <c r="AD10" i="63" s="1"/>
  <c r="AB11" i="63"/>
  <c r="AD11" i="63" s="1"/>
  <c r="AB12" i="63"/>
  <c r="AD12" i="63" s="1"/>
  <c r="AB13" i="63"/>
  <c r="AD13" i="63" s="1"/>
  <c r="F76" i="63"/>
  <c r="F93" i="63"/>
  <c r="AL290" i="62"/>
  <c r="AS292" i="62"/>
  <c r="AV290" i="62" s="1"/>
  <c r="AM301" i="62"/>
  <c r="BS300" i="62" s="1"/>
  <c r="AQ301" i="62"/>
  <c r="AM305" i="62"/>
  <c r="AS305" i="62"/>
  <c r="BE305" i="62"/>
  <c r="BW305" i="62" s="1"/>
  <c r="BN305" i="62"/>
  <c r="BZ305" i="62"/>
  <c r="CA305" i="62" s="1"/>
  <c r="AS307" i="62"/>
  <c r="BZ325" i="62"/>
  <c r="CA325" i="62" s="1"/>
  <c r="AS336" i="62"/>
  <c r="AM342" i="62"/>
  <c r="BS325" i="62" s="1"/>
  <c r="BK363" i="62"/>
  <c r="J364" i="62"/>
  <c r="J453" i="62" s="1"/>
  <c r="L364" i="62"/>
  <c r="K367" i="62"/>
  <c r="J378" i="62"/>
  <c r="J381" i="62"/>
  <c r="K395" i="62"/>
  <c r="J415" i="62"/>
  <c r="BI415" i="62"/>
  <c r="BI453" i="62" s="1"/>
  <c r="F91" i="63" s="1"/>
  <c r="F99" i="63" s="1"/>
  <c r="R416" i="62"/>
  <c r="R418" i="62"/>
  <c r="R420" i="62"/>
  <c r="AM427" i="62"/>
  <c r="BS427" i="62" s="1"/>
  <c r="AS427" i="62"/>
  <c r="BE427" i="62"/>
  <c r="BZ427" i="62"/>
  <c r="CA427" i="62" s="1"/>
  <c r="AS435" i="62"/>
  <c r="R444" i="62"/>
  <c r="BL427" i="62" s="1"/>
  <c r="L445" i="62"/>
  <c r="P445" i="62"/>
  <c r="R451" i="62"/>
  <c r="BL449" i="62" s="1"/>
  <c r="AM452" i="62"/>
  <c r="BS452" i="62" s="1"/>
  <c r="AS452" i="62"/>
  <c r="BU452" i="62" s="1"/>
  <c r="BE452" i="62"/>
  <c r="BW452" i="62" s="1"/>
  <c r="R4" i="63"/>
  <c r="X4" i="63"/>
  <c r="Z4" i="63"/>
  <c r="AC4" i="63" s="1"/>
  <c r="I5" i="63"/>
  <c r="X6" i="63"/>
  <c r="I7" i="63"/>
  <c r="X8" i="63"/>
  <c r="I9" i="63"/>
  <c r="X10" i="63"/>
  <c r="I11" i="63"/>
  <c r="X12" i="63"/>
  <c r="I13" i="63"/>
  <c r="X14" i="63"/>
  <c r="AC34" i="63"/>
  <c r="AC35" i="63"/>
  <c r="AC36" i="63"/>
  <c r="AA37" i="63"/>
  <c r="AC37" i="63"/>
  <c r="AA38" i="63"/>
  <c r="AC38" i="63"/>
  <c r="AA39" i="63"/>
  <c r="AC39" i="63"/>
  <c r="AD39" i="63" s="1"/>
  <c r="AA40" i="63"/>
  <c r="AC40" i="63"/>
  <c r="AA41" i="63"/>
  <c r="AC41" i="63"/>
  <c r="AA42" i="63"/>
  <c r="AC42" i="63"/>
  <c r="AA43" i="63"/>
  <c r="AC43" i="63"/>
  <c r="AD43" i="63" s="1"/>
  <c r="AA44" i="63"/>
  <c r="AC44" i="63"/>
  <c r="AA45" i="63"/>
  <c r="AC45" i="63"/>
  <c r="AA46" i="63"/>
  <c r="AC46" i="63"/>
  <c r="AA47" i="63"/>
  <c r="AC47" i="63"/>
  <c r="AD47" i="63" s="1"/>
  <c r="AA48" i="63"/>
  <c r="AC48" i="63"/>
  <c r="AA49" i="63"/>
  <c r="AC49" i="63"/>
  <c r="AA50" i="63"/>
  <c r="AC50" i="63"/>
  <c r="AA51" i="63"/>
  <c r="AC51" i="63"/>
  <c r="AD51" i="63" s="1"/>
  <c r="AA52" i="63"/>
  <c r="AB52" i="63"/>
  <c r="AB53" i="63"/>
  <c r="AB54" i="63"/>
  <c r="AD54" i="63" s="1"/>
  <c r="AC55" i="63"/>
  <c r="AA56" i="63"/>
  <c r="AC56" i="63"/>
  <c r="AD56" i="63" s="1"/>
  <c r="AA57" i="63"/>
  <c r="AC57" i="63"/>
  <c r="AA58" i="63"/>
  <c r="AC58" i="63"/>
  <c r="AA59" i="63"/>
  <c r="AC59" i="63"/>
  <c r="AA60" i="63"/>
  <c r="AC60" i="63"/>
  <c r="AD60" i="63" s="1"/>
  <c r="AA61" i="63"/>
  <c r="AC61" i="63"/>
  <c r="AA62" i="63"/>
  <c r="AC62" i="63"/>
  <c r="AC64" i="63"/>
  <c r="O93" i="63"/>
  <c r="O76" i="63"/>
  <c r="S364" i="62"/>
  <c r="BE461" i="62"/>
  <c r="BZ461" i="62"/>
  <c r="BZ468" i="62" s="1"/>
  <c r="U92" i="63" s="1"/>
  <c r="X92" i="63" s="1"/>
  <c r="G76" i="63"/>
  <c r="I4" i="63"/>
  <c r="Q76" i="63"/>
  <c r="Z76" i="63" s="1"/>
  <c r="AC76" i="63" s="1"/>
  <c r="Y4" i="63"/>
  <c r="AA4" i="63" s="1"/>
  <c r="X5" i="63"/>
  <c r="I6" i="63"/>
  <c r="X7" i="63"/>
  <c r="I8" i="63"/>
  <c r="X9" i="63"/>
  <c r="I10" i="63"/>
  <c r="X11" i="63"/>
  <c r="I12" i="63"/>
  <c r="X13" i="63"/>
  <c r="Y14" i="63"/>
  <c r="AA14" i="63" s="1"/>
  <c r="I14" i="63"/>
  <c r="AC14" i="63"/>
  <c r="AB15" i="63"/>
  <c r="AD15" i="63" s="1"/>
  <c r="AB16" i="63"/>
  <c r="AD16" i="63" s="1"/>
  <c r="AB17" i="63"/>
  <c r="AD17" i="63" s="1"/>
  <c r="AB18" i="63"/>
  <c r="AD18" i="63" s="1"/>
  <c r="AB19" i="63"/>
  <c r="AD19" i="63" s="1"/>
  <c r="AB20" i="63"/>
  <c r="AD20" i="63" s="1"/>
  <c r="AB21" i="63"/>
  <c r="AD21" i="63" s="1"/>
  <c r="AB22" i="63"/>
  <c r="AD22" i="63" s="1"/>
  <c r="AB23" i="63"/>
  <c r="AD23" i="63" s="1"/>
  <c r="AB24" i="63"/>
  <c r="AD24" i="63" s="1"/>
  <c r="AB25" i="63"/>
  <c r="AD25" i="63" s="1"/>
  <c r="AB26" i="63"/>
  <c r="AD26" i="63" s="1"/>
  <c r="AB27" i="63"/>
  <c r="AD27" i="63" s="1"/>
  <c r="AB28" i="63"/>
  <c r="AD28" i="63" s="1"/>
  <c r="AB29" i="63"/>
  <c r="AD29" i="63" s="1"/>
  <c r="AB30" i="63"/>
  <c r="AD30" i="63" s="1"/>
  <c r="AB31" i="63"/>
  <c r="AD31" i="63" s="1"/>
  <c r="AB32" i="63"/>
  <c r="AD32" i="63" s="1"/>
  <c r="AB33" i="63"/>
  <c r="AD33" i="63" s="1"/>
  <c r="AB34" i="63"/>
  <c r="AB35" i="63"/>
  <c r="AD35" i="63" s="1"/>
  <c r="AB36" i="63"/>
  <c r="AD36" i="63" s="1"/>
  <c r="AB37" i="63"/>
  <c r="AD37" i="63" s="1"/>
  <c r="AD41" i="63"/>
  <c r="AD42" i="63"/>
  <c r="AD44" i="63"/>
  <c r="AD45" i="63"/>
  <c r="AD49" i="63"/>
  <c r="AD50" i="63"/>
  <c r="AC52" i="63"/>
  <c r="AD57" i="63"/>
  <c r="AD58" i="63"/>
  <c r="AD59" i="63"/>
  <c r="AD62" i="63"/>
  <c r="U36" i="64"/>
  <c r="AD36" i="64" s="1"/>
  <c r="L36" i="64"/>
  <c r="R36" i="64" s="1"/>
  <c r="X15" i="63"/>
  <c r="I16" i="63"/>
  <c r="X17" i="63"/>
  <c r="I18" i="63"/>
  <c r="X19" i="63"/>
  <c r="I20" i="63"/>
  <c r="X21" i="63"/>
  <c r="I22" i="63"/>
  <c r="X23" i="63"/>
  <c r="I24" i="63"/>
  <c r="X25" i="63"/>
  <c r="I26" i="63"/>
  <c r="X27" i="63"/>
  <c r="I28" i="63"/>
  <c r="X29" i="63"/>
  <c r="I30" i="63"/>
  <c r="X31" i="63"/>
  <c r="I32" i="63"/>
  <c r="X33" i="63"/>
  <c r="I34" i="63"/>
  <c r="X35" i="63"/>
  <c r="I36" i="63"/>
  <c r="X37" i="63"/>
  <c r="I38" i="63"/>
  <c r="X39" i="63"/>
  <c r="I40" i="63"/>
  <c r="X41" i="63"/>
  <c r="I42" i="63"/>
  <c r="X43" i="63"/>
  <c r="I44" i="63"/>
  <c r="X45" i="63"/>
  <c r="I46" i="63"/>
  <c r="X47" i="63"/>
  <c r="I48" i="63"/>
  <c r="X49" i="63"/>
  <c r="I50" i="63"/>
  <c r="X51" i="63"/>
  <c r="I52" i="63"/>
  <c r="X53" i="63"/>
  <c r="I54" i="63"/>
  <c r="X55" i="63"/>
  <c r="I56" i="63"/>
  <c r="X57" i="63"/>
  <c r="I58" i="63"/>
  <c r="X59" i="63"/>
  <c r="I60" i="63"/>
  <c r="X61" i="63"/>
  <c r="I62" i="63"/>
  <c r="R63" i="63"/>
  <c r="R94" i="63" s="1"/>
  <c r="X63" i="63"/>
  <c r="Z63" i="63"/>
  <c r="AC63" i="63" s="1"/>
  <c r="Y64" i="63"/>
  <c r="AA64" i="63" s="1"/>
  <c r="R65" i="63"/>
  <c r="X65" i="63"/>
  <c r="Z65" i="63"/>
  <c r="AC65" i="63" s="1"/>
  <c r="Y66" i="63"/>
  <c r="AA66" i="63" s="1"/>
  <c r="AA68" i="63"/>
  <c r="AA70" i="63"/>
  <c r="AC73" i="63"/>
  <c r="R67" i="63"/>
  <c r="Y67" i="63"/>
  <c r="AA67" i="63" s="1"/>
  <c r="AD27" i="65"/>
  <c r="AD35" i="65" s="1"/>
  <c r="I15" i="63"/>
  <c r="X16" i="63"/>
  <c r="I17" i="63"/>
  <c r="X18" i="63"/>
  <c r="I19" i="63"/>
  <c r="X20" i="63"/>
  <c r="I21" i="63"/>
  <c r="X22" i="63"/>
  <c r="I23" i="63"/>
  <c r="X24" i="63"/>
  <c r="I25" i="63"/>
  <c r="X26" i="63"/>
  <c r="I27" i="63"/>
  <c r="X28" i="63"/>
  <c r="I29" i="63"/>
  <c r="X30" i="63"/>
  <c r="I31" i="63"/>
  <c r="X32" i="63"/>
  <c r="I33" i="63"/>
  <c r="X34" i="63"/>
  <c r="I35" i="63"/>
  <c r="X36" i="63"/>
  <c r="I37" i="63"/>
  <c r="X38" i="63"/>
  <c r="I39" i="63"/>
  <c r="X40" i="63"/>
  <c r="I41" i="63"/>
  <c r="X42" i="63"/>
  <c r="I43" i="63"/>
  <c r="X44" i="63"/>
  <c r="I45" i="63"/>
  <c r="X46" i="63"/>
  <c r="I47" i="63"/>
  <c r="X48" i="63"/>
  <c r="I49" i="63"/>
  <c r="X50" i="63"/>
  <c r="I51" i="63"/>
  <c r="L52" i="63"/>
  <c r="L76" i="63" s="1"/>
  <c r="X52" i="63"/>
  <c r="I53" i="63"/>
  <c r="X54" i="63"/>
  <c r="I55" i="63"/>
  <c r="U55" i="63"/>
  <c r="U93" i="63" s="1"/>
  <c r="X56" i="63"/>
  <c r="I57" i="63"/>
  <c r="X58" i="63"/>
  <c r="I59" i="63"/>
  <c r="X60" i="63"/>
  <c r="I61" i="63"/>
  <c r="X62" i="63"/>
  <c r="Y63" i="63"/>
  <c r="AA63" i="63" s="1"/>
  <c r="X64" i="63"/>
  <c r="Y65" i="63"/>
  <c r="X66" i="63"/>
  <c r="AC68" i="63"/>
  <c r="AC70" i="63"/>
  <c r="AB73" i="63"/>
  <c r="AD73" i="63" s="1"/>
  <c r="AC74" i="63"/>
  <c r="CA14" i="64"/>
  <c r="X68" i="63"/>
  <c r="Y69" i="63"/>
  <c r="AA69" i="63" s="1"/>
  <c r="R70" i="63"/>
  <c r="X70" i="63"/>
  <c r="Y71" i="63"/>
  <c r="AA71" i="63" s="1"/>
  <c r="R72" i="63"/>
  <c r="X72" i="63"/>
  <c r="Z72" i="63"/>
  <c r="AA72" i="63" s="1"/>
  <c r="R73" i="63"/>
  <c r="X73" i="63"/>
  <c r="Y74" i="63"/>
  <c r="AA74" i="63" s="1"/>
  <c r="U75" i="63"/>
  <c r="BR4" i="64"/>
  <c r="BR43" i="64" s="1"/>
  <c r="O27" i="65" s="1"/>
  <c r="O35" i="65" s="1"/>
  <c r="BT4" i="64"/>
  <c r="BT43" i="64" s="1"/>
  <c r="BV4" i="64"/>
  <c r="BV43" i="64" s="1"/>
  <c r="CA4" i="64"/>
  <c r="AM5" i="64"/>
  <c r="AS5" i="64"/>
  <c r="BE5" i="64"/>
  <c r="AS13" i="64"/>
  <c r="AM14" i="64"/>
  <c r="BS14" i="64" s="1"/>
  <c r="AS14" i="64"/>
  <c r="BU14" i="64" s="1"/>
  <c r="BE14" i="64"/>
  <c r="BW14" i="64" s="1"/>
  <c r="J21" i="64"/>
  <c r="J43" i="64" s="1"/>
  <c r="T21" i="64"/>
  <c r="BI21" i="64"/>
  <c r="BI43" i="64" s="1"/>
  <c r="F27" i="65" s="1"/>
  <c r="F35" i="65" s="1"/>
  <c r="L28" i="64"/>
  <c r="L31" i="64"/>
  <c r="R31" i="64"/>
  <c r="AD31" i="64"/>
  <c r="BN31" i="64" s="1"/>
  <c r="R32" i="64"/>
  <c r="R33" i="64"/>
  <c r="R34" i="64"/>
  <c r="R35" i="64"/>
  <c r="J36" i="64"/>
  <c r="P36" i="64" s="1"/>
  <c r="L38" i="64"/>
  <c r="BJ38" i="64" s="1"/>
  <c r="R38" i="64"/>
  <c r="BL38" i="64" s="1"/>
  <c r="AD38" i="64"/>
  <c r="BN38" i="64" s="1"/>
  <c r="X6" i="65"/>
  <c r="AD6" i="65"/>
  <c r="L14" i="65"/>
  <c r="AB14" i="65"/>
  <c r="AB19" i="65" s="1"/>
  <c r="L16" i="65"/>
  <c r="AD16" i="65" s="1"/>
  <c r="AC17" i="65"/>
  <c r="AC19" i="65" s="1"/>
  <c r="AD18" i="65"/>
  <c r="X34" i="65" s="1"/>
  <c r="I19" i="65"/>
  <c r="K19" i="65"/>
  <c r="O19" i="65"/>
  <c r="U19" i="65"/>
  <c r="Y19" i="65"/>
  <c r="X67" i="63"/>
  <c r="R69" i="63"/>
  <c r="R96" i="63" s="1"/>
  <c r="X69" i="63"/>
  <c r="X71" i="63"/>
  <c r="X74" i="63"/>
  <c r="O21" i="64"/>
  <c r="S21" i="64"/>
  <c r="L15" i="65"/>
  <c r="F19" i="65"/>
  <c r="L19" i="65"/>
  <c r="R19" i="65"/>
  <c r="C13" i="53"/>
  <c r="K10" i="53"/>
  <c r="K9" i="53"/>
  <c r="K8" i="53"/>
  <c r="K7" i="53"/>
  <c r="K6" i="53"/>
  <c r="K5" i="53"/>
  <c r="K4" i="53"/>
  <c r="K3" i="53"/>
  <c r="K2" i="53"/>
  <c r="R381" i="62" l="1"/>
  <c r="AD381" i="62"/>
  <c r="AS24" i="62"/>
  <c r="BE24" i="62"/>
  <c r="AM43" i="64"/>
  <c r="AD53" i="63"/>
  <c r="BS4" i="64"/>
  <c r="BS43" i="64" s="1"/>
  <c r="BJ31" i="64"/>
  <c r="CA43" i="64"/>
  <c r="X27" i="65" s="1"/>
  <c r="BM31" i="64"/>
  <c r="AB66" i="63"/>
  <c r="AD66" i="63" s="1"/>
  <c r="X76" i="63"/>
  <c r="AD17" i="65"/>
  <c r="X32" i="65" s="1"/>
  <c r="K453" i="62"/>
  <c r="BS305" i="62"/>
  <c r="BS168" i="62"/>
  <c r="K43" i="64"/>
  <c r="P76" i="63"/>
  <c r="Y76" i="63" s="1"/>
  <c r="BW300" i="62"/>
  <c r="AO453" i="62"/>
  <c r="AS43" i="64"/>
  <c r="AD68" i="63"/>
  <c r="BL135" i="62"/>
  <c r="BR453" i="62"/>
  <c r="O91" i="63" s="1"/>
  <c r="X95" i="63"/>
  <c r="U35" i="65"/>
  <c r="X19" i="65"/>
  <c r="BJ23" i="64"/>
  <c r="BE43" i="64"/>
  <c r="AD70" i="63"/>
  <c r="AA65" i="63"/>
  <c r="AD34" i="63"/>
  <c r="BJ427" i="62"/>
  <c r="BW427" i="62"/>
  <c r="BU325" i="62"/>
  <c r="AS301" i="62"/>
  <c r="BU300" i="62" s="1"/>
  <c r="BE8" i="62"/>
  <c r="R35" i="65"/>
  <c r="Y55" i="63"/>
  <c r="BN156" i="62"/>
  <c r="BS41" i="62"/>
  <c r="BK41" i="62"/>
  <c r="L47" i="62"/>
  <c r="BJ41" i="62" s="1"/>
  <c r="BV34" i="62"/>
  <c r="BE34" i="62"/>
  <c r="AS34" i="62"/>
  <c r="BE290" i="62"/>
  <c r="AS290" i="62"/>
  <c r="BV168" i="62"/>
  <c r="L31" i="65"/>
  <c r="AD15" i="65"/>
  <c r="X31" i="65" s="1"/>
  <c r="U21" i="64"/>
  <c r="BK21" i="64"/>
  <c r="BK43" i="64" s="1"/>
  <c r="L21" i="64"/>
  <c r="X29" i="65"/>
  <c r="AC21" i="64"/>
  <c r="AC43" i="64" s="1"/>
  <c r="Q21" i="64"/>
  <c r="Q43" i="64" s="1"/>
  <c r="T43" i="64"/>
  <c r="BE468" i="62"/>
  <c r="BY461" i="62"/>
  <c r="BY468" i="62" s="1"/>
  <c r="BW461" i="62"/>
  <c r="BW468" i="62" s="1"/>
  <c r="R47" i="62"/>
  <c r="AD47" i="62"/>
  <c r="BM41" i="62"/>
  <c r="AT453" i="62"/>
  <c r="AQ4" i="62"/>
  <c r="BC4" i="62"/>
  <c r="AC378" i="62"/>
  <c r="Q378" i="62"/>
  <c r="BD34" i="62"/>
  <c r="AR34" i="62"/>
  <c r="AC381" i="62"/>
  <c r="Q381" i="62"/>
  <c r="AD367" i="62"/>
  <c r="BN363" i="62" s="1"/>
  <c r="R367" i="62"/>
  <c r="AC72" i="63"/>
  <c r="AD72" i="63" s="1"/>
  <c r="AB69" i="63"/>
  <c r="AD69" i="63" s="1"/>
  <c r="U76" i="63"/>
  <c r="AB65" i="63"/>
  <c r="AD65" i="63" s="1"/>
  <c r="AB63" i="63"/>
  <c r="AD63" i="63" s="1"/>
  <c r="AD52" i="63"/>
  <c r="AB14" i="63"/>
  <c r="AD14" i="63" s="1"/>
  <c r="R76" i="63"/>
  <c r="CA461" i="62"/>
  <c r="CA468" i="62" s="1"/>
  <c r="L93" i="63"/>
  <c r="X93" i="63" s="1"/>
  <c r="AB4" i="63"/>
  <c r="AD4" i="63" s="1"/>
  <c r="T453" i="62"/>
  <c r="BZ453" i="62"/>
  <c r="U91" i="63" s="1"/>
  <c r="X91" i="63" s="1"/>
  <c r="BM363" i="62"/>
  <c r="BS34" i="62"/>
  <c r="S43" i="64"/>
  <c r="AB21" i="64"/>
  <c r="AB43" i="64" s="1"/>
  <c r="P21" i="64"/>
  <c r="P43" i="64" s="1"/>
  <c r="L30" i="65"/>
  <c r="AD14" i="65"/>
  <c r="X30" i="65" s="1"/>
  <c r="U98" i="63"/>
  <c r="X98" i="63" s="1"/>
  <c r="AD75" i="63"/>
  <c r="AB364" i="62"/>
  <c r="AB453" i="62" s="1"/>
  <c r="P364" i="62"/>
  <c r="P453" i="62" s="1"/>
  <c r="U415" i="62"/>
  <c r="BK415" i="62"/>
  <c r="L415" i="62"/>
  <c r="U378" i="62"/>
  <c r="BK377" i="62"/>
  <c r="L378" i="62"/>
  <c r="BJ377" i="62" s="1"/>
  <c r="AP453" i="62"/>
  <c r="BT4" i="62"/>
  <c r="BT453" i="62" s="1"/>
  <c r="AV4" i="62"/>
  <c r="AM4" i="62"/>
  <c r="AM453" i="62" s="1"/>
  <c r="BC8" i="62"/>
  <c r="AQ8" i="62"/>
  <c r="AC415" i="62"/>
  <c r="AC453" i="62" s="1"/>
  <c r="Q415" i="62"/>
  <c r="BD203" i="62"/>
  <c r="AR203" i="62"/>
  <c r="BD39" i="62"/>
  <c r="AR39" i="62"/>
  <c r="BC24" i="62"/>
  <c r="AQ24" i="62"/>
  <c r="AU453" i="62"/>
  <c r="BD4" i="62"/>
  <c r="AR4" i="62"/>
  <c r="BC39" i="62"/>
  <c r="AQ39" i="62"/>
  <c r="BE203" i="62"/>
  <c r="BW168" i="62" s="1"/>
  <c r="AS203" i="62"/>
  <c r="BU168" i="62" s="1"/>
  <c r="BE39" i="62"/>
  <c r="AS39" i="62"/>
  <c r="BC34" i="62"/>
  <c r="AQ34" i="62"/>
  <c r="BL31" i="64"/>
  <c r="BU4" i="64"/>
  <c r="BU43" i="64" s="1"/>
  <c r="X35" i="65"/>
  <c r="R97" i="63"/>
  <c r="O43" i="64"/>
  <c r="AB74" i="63"/>
  <c r="AD74" i="63" s="1"/>
  <c r="AB71" i="63"/>
  <c r="AD71" i="63" s="1"/>
  <c r="AB67" i="63"/>
  <c r="AD67" i="63" s="1"/>
  <c r="R95" i="63"/>
  <c r="AB64" i="63"/>
  <c r="AD64" i="63" s="1"/>
  <c r="I76" i="63"/>
  <c r="BU427" i="62"/>
  <c r="BU305" i="62"/>
  <c r="S453" i="62"/>
  <c r="BU41" i="62"/>
  <c r="CA453" i="62"/>
  <c r="O99" i="63"/>
  <c r="AL453" i="62"/>
  <c r="BJ363" i="62"/>
  <c r="BL363" i="62"/>
  <c r="K13" i="53"/>
  <c r="AB76" i="63" l="1"/>
  <c r="AD76" i="63" s="1"/>
  <c r="AA76" i="63"/>
  <c r="L99" i="63"/>
  <c r="X99" i="63"/>
  <c r="Q453" i="62"/>
  <c r="AR453" i="62"/>
  <c r="BK453" i="62"/>
  <c r="BD453" i="62"/>
  <c r="L35" i="65"/>
  <c r="AA55" i="63"/>
  <c r="AB55" i="63"/>
  <c r="AD55" i="63" s="1"/>
  <c r="AV453" i="62"/>
  <c r="BV4" i="62"/>
  <c r="BV453" i="62" s="1"/>
  <c r="BE4" i="62"/>
  <c r="AS4" i="62"/>
  <c r="BJ415" i="62"/>
  <c r="BJ453" i="62" s="1"/>
  <c r="BM415" i="62"/>
  <c r="R415" i="62"/>
  <c r="BL415" i="62" s="1"/>
  <c r="AD415" i="62"/>
  <c r="BN415" i="62" s="1"/>
  <c r="BL41" i="62"/>
  <c r="BJ21" i="64"/>
  <c r="BJ43" i="64" s="1"/>
  <c r="L43" i="64"/>
  <c r="BM21" i="64"/>
  <c r="BM43" i="64" s="1"/>
  <c r="R21" i="64"/>
  <c r="U43" i="64"/>
  <c r="AD21" i="64"/>
  <c r="U99" i="63"/>
  <c r="AQ453" i="62"/>
  <c r="AD19" i="65"/>
  <c r="BU34" i="62"/>
  <c r="R378" i="62"/>
  <c r="U377" i="62" s="1"/>
  <c r="AD378" i="62"/>
  <c r="BN41" i="62"/>
  <c r="BC453" i="62"/>
  <c r="L453" i="62"/>
  <c r="BJ395" i="62" s="1"/>
  <c r="BW34" i="62"/>
  <c r="J21" i="27"/>
  <c r="I21" i="27"/>
  <c r="H21" i="27"/>
  <c r="G91" i="59"/>
  <c r="F91" i="59"/>
  <c r="E91" i="59"/>
  <c r="M90" i="59"/>
  <c r="M89" i="59"/>
  <c r="M88" i="59"/>
  <c r="M87" i="59"/>
  <c r="M86" i="59"/>
  <c r="M85" i="59"/>
  <c r="G81" i="59"/>
  <c r="M81" i="59" s="1"/>
  <c r="F81" i="59"/>
  <c r="E81" i="59"/>
  <c r="M76" i="59"/>
  <c r="G60" i="59"/>
  <c r="F60" i="59"/>
  <c r="E60" i="59"/>
  <c r="M59" i="59"/>
  <c r="M58" i="59"/>
  <c r="M57" i="59"/>
  <c r="M56" i="59"/>
  <c r="M55" i="59"/>
  <c r="M54" i="59"/>
  <c r="M53" i="59"/>
  <c r="M52" i="59"/>
  <c r="M51" i="59"/>
  <c r="M50" i="59"/>
  <c r="M49" i="59"/>
  <c r="M48" i="59"/>
  <c r="M47" i="59"/>
  <c r="M46" i="59"/>
  <c r="M45" i="59"/>
  <c r="M44" i="59"/>
  <c r="G40" i="59"/>
  <c r="M40" i="59" s="1"/>
  <c r="F40" i="59"/>
  <c r="E40" i="59"/>
  <c r="M35" i="59"/>
  <c r="G25" i="59"/>
  <c r="M25" i="59" s="1"/>
  <c r="F25" i="59"/>
  <c r="E25" i="59"/>
  <c r="M20" i="59"/>
  <c r="G16" i="59"/>
  <c r="M16" i="59" s="1"/>
  <c r="F16" i="59"/>
  <c r="E16" i="59"/>
  <c r="M11" i="59"/>
  <c r="G28" i="24"/>
  <c r="G40" i="24" s="1"/>
  <c r="F40" i="24"/>
  <c r="C40" i="24"/>
  <c r="E28" i="24"/>
  <c r="E40" i="24" s="1"/>
  <c r="C13" i="54"/>
  <c r="C16" i="54" s="1"/>
  <c r="AS453" i="62" l="1"/>
  <c r="BU4" i="62"/>
  <c r="BU453" i="62" s="1"/>
  <c r="BS4" i="62"/>
  <c r="BS453" i="62" s="1"/>
  <c r="BM377" i="62"/>
  <c r="BM453" i="62" s="1"/>
  <c r="AD377" i="62"/>
  <c r="R377" i="62"/>
  <c r="U453" i="62"/>
  <c r="BN21" i="64"/>
  <c r="BN43" i="64" s="1"/>
  <c r="AD43" i="64"/>
  <c r="BL21" i="64"/>
  <c r="BL43" i="64" s="1"/>
  <c r="R43" i="64"/>
  <c r="BE453" i="62"/>
  <c r="BW4" i="62"/>
  <c r="BW453" i="62" s="1"/>
  <c r="M91" i="59"/>
  <c r="M60" i="59"/>
  <c r="J20" i="27"/>
  <c r="D28" i="24"/>
  <c r="B28" i="24"/>
  <c r="D22" i="24"/>
  <c r="B22" i="24"/>
  <c r="B17" i="24"/>
  <c r="D17" i="24"/>
  <c r="B10" i="24"/>
  <c r="D10" i="24"/>
  <c r="D34" i="23"/>
  <c r="C43" i="29"/>
  <c r="D43" i="29"/>
  <c r="E43" i="29"/>
  <c r="F43" i="29"/>
  <c r="G43" i="29"/>
  <c r="H43" i="29"/>
  <c r="I43" i="29"/>
  <c r="J43" i="29"/>
  <c r="D17" i="29"/>
  <c r="G17" i="29"/>
  <c r="J17" i="29"/>
  <c r="M17" i="29"/>
  <c r="N17" i="29"/>
  <c r="O17" i="29"/>
  <c r="P17" i="29"/>
  <c r="L9" i="29"/>
  <c r="L17" i="29" s="1"/>
  <c r="F9" i="29"/>
  <c r="F17" i="29" s="1"/>
  <c r="C9" i="29"/>
  <c r="C17" i="29" s="1"/>
  <c r="S7" i="11"/>
  <c r="D31" i="50"/>
  <c r="C31" i="50"/>
  <c r="J16" i="27"/>
  <c r="BL377" i="62" l="1"/>
  <c r="BL453" i="62" s="1"/>
  <c r="R453" i="62"/>
  <c r="BN377" i="62"/>
  <c r="BN453" i="62" s="1"/>
  <c r="AD453" i="62"/>
  <c r="B40" i="24"/>
  <c r="J31" i="50"/>
  <c r="D40" i="24"/>
  <c r="K9" i="29"/>
  <c r="K17" i="29" s="1"/>
  <c r="I9" i="29"/>
  <c r="I17" i="29" s="1"/>
  <c r="H9" i="29"/>
  <c r="H17" i="29" s="1"/>
  <c r="E9" i="29"/>
  <c r="E17" i="29" s="1"/>
  <c r="B9" i="29"/>
  <c r="D47" i="25" l="1"/>
  <c r="I14" i="54" l="1"/>
  <c r="K14" i="54" s="1"/>
  <c r="K16" i="54" s="1"/>
  <c r="J13" i="54"/>
  <c r="J16" i="54" s="1"/>
  <c r="H13" i="54"/>
  <c r="H16" i="54" s="1"/>
  <c r="I12" i="54"/>
  <c r="K12" i="54" s="1"/>
  <c r="I11" i="54"/>
  <c r="K11" i="54" s="1"/>
  <c r="I10" i="54"/>
  <c r="K10" i="54" s="1"/>
  <c r="I9" i="54"/>
  <c r="K9" i="54" s="1"/>
  <c r="I8" i="54"/>
  <c r="K8" i="54" s="1"/>
  <c r="I6" i="54"/>
  <c r="K6" i="54" s="1"/>
  <c r="I5" i="54"/>
  <c r="K5" i="54" s="1"/>
  <c r="I4" i="54"/>
  <c r="K4" i="54" s="1"/>
  <c r="I3" i="54"/>
  <c r="K3" i="54" s="1"/>
  <c r="O22" i="11"/>
  <c r="P22" i="11"/>
  <c r="Q22" i="11"/>
  <c r="R22" i="11"/>
  <c r="S15" i="11"/>
  <c r="S16" i="11"/>
  <c r="S14" i="11"/>
  <c r="C22" i="11"/>
  <c r="D22" i="11"/>
  <c r="B22" i="11"/>
  <c r="N13" i="11"/>
  <c r="N22" i="11" s="1"/>
  <c r="M13" i="11"/>
  <c r="M22" i="11" s="1"/>
  <c r="L13" i="11"/>
  <c r="L22" i="11" s="1"/>
  <c r="K13" i="11"/>
  <c r="K22" i="11" s="1"/>
  <c r="J13" i="11"/>
  <c r="J22" i="11" s="1"/>
  <c r="I13" i="11"/>
  <c r="I22" i="11" s="1"/>
  <c r="H13" i="11"/>
  <c r="H22" i="11" s="1"/>
  <c r="G13" i="11"/>
  <c r="G22" i="11" s="1"/>
  <c r="F13" i="11"/>
  <c r="F22" i="11" s="1"/>
  <c r="E22" i="11"/>
  <c r="D48" i="52"/>
  <c r="C48" i="52"/>
  <c r="B48" i="52"/>
  <c r="E36" i="52"/>
  <c r="D36" i="52"/>
  <c r="C36" i="52"/>
  <c r="B36" i="52"/>
  <c r="D15" i="52"/>
  <c r="B15" i="52"/>
  <c r="E15" i="52"/>
  <c r="C6" i="52"/>
  <c r="C15" i="52" s="1"/>
  <c r="B15" i="51"/>
  <c r="I31" i="50"/>
  <c r="H31" i="50"/>
  <c r="G31" i="50"/>
  <c r="F31" i="50"/>
  <c r="E31" i="50"/>
  <c r="B14" i="50"/>
  <c r="B13" i="50"/>
  <c r="K13" i="54" l="1"/>
  <c r="B31" i="50"/>
  <c r="I13" i="54"/>
  <c r="I16" i="54" s="1"/>
  <c r="J17" i="27" l="1"/>
  <c r="J18" i="27"/>
  <c r="J19" i="27"/>
  <c r="I17" i="27"/>
  <c r="I18" i="27"/>
  <c r="I19" i="27"/>
  <c r="H17" i="27"/>
  <c r="H18" i="27"/>
  <c r="H19" i="27"/>
  <c r="S11" i="11" l="1"/>
  <c r="S13" i="11"/>
  <c r="S22" i="11" s="1"/>
  <c r="O12" i="11"/>
  <c r="O23" i="11" s="1"/>
  <c r="P12" i="11"/>
  <c r="P23" i="11" s="1"/>
  <c r="Q12" i="11"/>
  <c r="Q23" i="11" s="1"/>
  <c r="R12" i="11"/>
  <c r="R23" i="11" s="1"/>
  <c r="S8" i="11"/>
  <c r="S9" i="11"/>
  <c r="D100" i="26" l="1"/>
  <c r="D9" i="25"/>
  <c r="M107" i="23" l="1"/>
  <c r="L107" i="23"/>
  <c r="L108" i="23"/>
  <c r="K107" i="23"/>
  <c r="K108" i="23"/>
  <c r="K100" i="23"/>
  <c r="L100" i="23"/>
  <c r="M100" i="23"/>
  <c r="K101" i="23"/>
  <c r="L101" i="23"/>
  <c r="M101" i="23"/>
  <c r="K102" i="23"/>
  <c r="L102" i="23"/>
  <c r="M102" i="23"/>
  <c r="K103" i="23"/>
  <c r="L103" i="23"/>
  <c r="M103" i="23"/>
  <c r="K104" i="23"/>
  <c r="L104" i="23"/>
  <c r="M104" i="23"/>
  <c r="K105" i="23"/>
  <c r="L105" i="23"/>
  <c r="M105" i="23"/>
  <c r="M108" i="23"/>
  <c r="K109" i="23"/>
  <c r="L109" i="23"/>
  <c r="M109" i="23"/>
  <c r="K110" i="23"/>
  <c r="L110" i="23"/>
  <c r="M110" i="23"/>
  <c r="K111" i="23"/>
  <c r="L111" i="23"/>
  <c r="M111" i="23"/>
  <c r="M99" i="23"/>
  <c r="L113" i="23" l="1"/>
  <c r="M113" i="23"/>
  <c r="K113" i="23"/>
  <c r="D12" i="11"/>
  <c r="D23" i="11" s="1"/>
  <c r="S10" i="11"/>
  <c r="I16" i="27"/>
  <c r="H16" i="27"/>
  <c r="I18" i="26"/>
  <c r="C9" i="25"/>
  <c r="D71" i="23"/>
  <c r="C71" i="23"/>
  <c r="B71" i="23"/>
  <c r="C34" i="23"/>
  <c r="D25" i="11" l="1"/>
  <c r="C12" i="11"/>
  <c r="C23" i="11" l="1"/>
  <c r="C25" i="11" s="1"/>
  <c r="F29" i="26"/>
  <c r="G29" i="26"/>
  <c r="E37" i="8" l="1"/>
  <c r="D37" i="8"/>
  <c r="F22" i="27" l="1"/>
  <c r="G22" i="27"/>
  <c r="C22" i="27"/>
  <c r="D22" i="27"/>
  <c r="I13" i="27"/>
  <c r="J13" i="27"/>
  <c r="I14" i="27"/>
  <c r="J14" i="27"/>
  <c r="I15" i="27"/>
  <c r="J15" i="27"/>
  <c r="H14" i="27"/>
  <c r="H15" i="27"/>
  <c r="H13" i="27"/>
  <c r="D128" i="26"/>
  <c r="C128" i="26"/>
  <c r="D114" i="26"/>
  <c r="H7" i="26"/>
  <c r="I7" i="26"/>
  <c r="J7" i="26"/>
  <c r="H8" i="26"/>
  <c r="I8" i="26"/>
  <c r="J8" i="26"/>
  <c r="H9" i="26"/>
  <c r="I9" i="26"/>
  <c r="J9" i="26"/>
  <c r="H10" i="26"/>
  <c r="I10" i="26"/>
  <c r="J10" i="26"/>
  <c r="H11" i="26"/>
  <c r="I11" i="26"/>
  <c r="J11" i="26"/>
  <c r="H12" i="26"/>
  <c r="I12" i="26"/>
  <c r="J12" i="26"/>
  <c r="H13" i="26"/>
  <c r="I13" i="26"/>
  <c r="J13" i="26"/>
  <c r="H14" i="26"/>
  <c r="I14" i="26"/>
  <c r="J14" i="26"/>
  <c r="H15" i="26"/>
  <c r="I15" i="26"/>
  <c r="J15" i="26"/>
  <c r="H16" i="26"/>
  <c r="I16" i="26"/>
  <c r="J16" i="26"/>
  <c r="H17" i="26"/>
  <c r="I17" i="26"/>
  <c r="J17" i="26"/>
  <c r="H18" i="26"/>
  <c r="J18" i="26"/>
  <c r="H19" i="26"/>
  <c r="I19" i="26"/>
  <c r="J19" i="26"/>
  <c r="H20" i="26"/>
  <c r="I20" i="26"/>
  <c r="J20" i="26"/>
  <c r="H21" i="26"/>
  <c r="I21" i="26"/>
  <c r="J21" i="26"/>
  <c r="H22" i="26"/>
  <c r="I22" i="26"/>
  <c r="J22" i="26"/>
  <c r="H23" i="26"/>
  <c r="I23" i="26"/>
  <c r="J23" i="26"/>
  <c r="H24" i="26"/>
  <c r="I24" i="26"/>
  <c r="J24" i="26"/>
  <c r="H25" i="26"/>
  <c r="I25" i="26"/>
  <c r="J25" i="26"/>
  <c r="H26" i="26"/>
  <c r="I26" i="26"/>
  <c r="J26" i="26"/>
  <c r="H27" i="26"/>
  <c r="I27" i="26"/>
  <c r="J27" i="26"/>
  <c r="H28" i="26"/>
  <c r="I28" i="26"/>
  <c r="J28" i="26"/>
  <c r="I6" i="26"/>
  <c r="J6" i="26"/>
  <c r="H6" i="26"/>
  <c r="C29" i="26"/>
  <c r="D29" i="26"/>
  <c r="D59" i="23"/>
  <c r="C59" i="23"/>
  <c r="D45" i="23"/>
  <c r="C45" i="23"/>
  <c r="D20" i="23"/>
  <c r="C20" i="23"/>
  <c r="D10" i="23"/>
  <c r="C10" i="23"/>
  <c r="J22" i="27" l="1"/>
  <c r="I22" i="27"/>
  <c r="I29" i="26"/>
  <c r="J29" i="26"/>
  <c r="B108" i="26" l="1"/>
  <c r="C114" i="26" s="1"/>
  <c r="B107" i="26" l="1"/>
  <c r="B34" i="23" l="1"/>
  <c r="B20" i="23"/>
  <c r="B10" i="23"/>
  <c r="B87" i="26" l="1"/>
  <c r="J41" i="42" l="1"/>
  <c r="K41" i="42"/>
  <c r="I41" i="42"/>
  <c r="J14" i="42"/>
  <c r="J25" i="42" s="1"/>
  <c r="K14" i="42"/>
  <c r="K25" i="42" s="1"/>
  <c r="I14" i="42"/>
  <c r="I25" i="42" s="1"/>
  <c r="E41" i="42"/>
  <c r="F41" i="42"/>
  <c r="D41" i="42"/>
  <c r="I43" i="42" l="1"/>
  <c r="J43" i="42"/>
  <c r="K43" i="42"/>
  <c r="E23" i="42"/>
  <c r="F23" i="42"/>
  <c r="D23" i="42"/>
  <c r="E14" i="42"/>
  <c r="F14" i="42"/>
  <c r="D14" i="42"/>
  <c r="J40" i="41"/>
  <c r="K40" i="41"/>
  <c r="I40" i="41"/>
  <c r="J30" i="41"/>
  <c r="K30" i="41"/>
  <c r="I30" i="41"/>
  <c r="J14" i="41"/>
  <c r="K14" i="41"/>
  <c r="I14" i="41"/>
  <c r="E30" i="41"/>
  <c r="E42" i="41" s="1"/>
  <c r="F30" i="41"/>
  <c r="F42" i="41" s="1"/>
  <c r="D30" i="41"/>
  <c r="D42" i="41" s="1"/>
  <c r="E23" i="41"/>
  <c r="F23" i="41"/>
  <c r="D23" i="41"/>
  <c r="E14" i="41"/>
  <c r="F14" i="41"/>
  <c r="D14" i="41"/>
  <c r="K42" i="41" l="1"/>
  <c r="D25" i="41"/>
  <c r="D44" i="41" s="1"/>
  <c r="E25" i="41"/>
  <c r="J42" i="41"/>
  <c r="F25" i="41"/>
  <c r="F44" i="41" s="1"/>
  <c r="I42" i="41"/>
  <c r="E44" i="41"/>
  <c r="F25" i="42"/>
  <c r="F43" i="42" s="1"/>
  <c r="D25" i="42"/>
  <c r="D43" i="42" s="1"/>
  <c r="E25" i="42"/>
  <c r="E43" i="42" s="1"/>
  <c r="C8" i="8" l="1"/>
  <c r="E12" i="11" l="1"/>
  <c r="E23" i="11" s="1"/>
  <c r="F12" i="11"/>
  <c r="G12" i="11"/>
  <c r="H12" i="11"/>
  <c r="I12" i="11"/>
  <c r="J12" i="11"/>
  <c r="K12" i="11"/>
  <c r="L12" i="11"/>
  <c r="M12" i="11"/>
  <c r="N12" i="11"/>
  <c r="O25" i="11"/>
  <c r="P25" i="11"/>
  <c r="Q25" i="11"/>
  <c r="R25" i="11"/>
  <c r="B12" i="11"/>
  <c r="B23" i="11" s="1"/>
  <c r="B25" i="11" s="1"/>
  <c r="M23" i="11" l="1"/>
  <c r="M25" i="11" s="1"/>
  <c r="K23" i="11"/>
  <c r="K25" i="11" s="1"/>
  <c r="I23" i="11"/>
  <c r="I25" i="11" s="1"/>
  <c r="G23" i="11"/>
  <c r="G25" i="11" s="1"/>
  <c r="N23" i="11"/>
  <c r="N25" i="11" s="1"/>
  <c r="L23" i="11"/>
  <c r="L25" i="11" s="1"/>
  <c r="J23" i="11"/>
  <c r="J25" i="11" s="1"/>
  <c r="H23" i="11"/>
  <c r="H25" i="11" s="1"/>
  <c r="F23" i="11"/>
  <c r="F25" i="11" s="1"/>
  <c r="E25" i="11"/>
  <c r="S12" i="11"/>
  <c r="J16" i="31"/>
  <c r="K16" i="31"/>
  <c r="J17" i="31"/>
  <c r="K17" i="31"/>
  <c r="J18" i="31"/>
  <c r="K18" i="31"/>
  <c r="J19" i="31"/>
  <c r="K19" i="31"/>
  <c r="J21" i="31"/>
  <c r="K21" i="31"/>
  <c r="J22" i="31"/>
  <c r="K22" i="31"/>
  <c r="J28" i="31"/>
  <c r="K28" i="31"/>
  <c r="J29" i="31"/>
  <c r="K29" i="31"/>
  <c r="J32" i="31"/>
  <c r="K32" i="31"/>
  <c r="J33" i="31"/>
  <c r="K33" i="31"/>
  <c r="J34" i="31"/>
  <c r="K34" i="31"/>
  <c r="J35" i="31"/>
  <c r="K35" i="31"/>
  <c r="J36" i="31"/>
  <c r="K36" i="31"/>
  <c r="J37" i="31"/>
  <c r="K37" i="31"/>
  <c r="J38" i="31"/>
  <c r="K38" i="31"/>
  <c r="I17" i="31"/>
  <c r="I18" i="31"/>
  <c r="I19" i="31"/>
  <c r="I21" i="31"/>
  <c r="I22" i="31"/>
  <c r="I28" i="31"/>
  <c r="I29" i="31"/>
  <c r="I32" i="31"/>
  <c r="I33" i="31"/>
  <c r="I34" i="31"/>
  <c r="I35" i="31"/>
  <c r="I36" i="31"/>
  <c r="I37" i="31"/>
  <c r="I38" i="31"/>
  <c r="I16" i="31"/>
  <c r="J10" i="31"/>
  <c r="K10" i="31"/>
  <c r="J11" i="31"/>
  <c r="K11" i="31"/>
  <c r="J12" i="31"/>
  <c r="K12" i="31"/>
  <c r="J13" i="31"/>
  <c r="K13" i="31"/>
  <c r="I10" i="31"/>
  <c r="I11" i="31"/>
  <c r="I12" i="31"/>
  <c r="I13" i="31"/>
  <c r="E10" i="31"/>
  <c r="F10" i="31"/>
  <c r="E15" i="31"/>
  <c r="F15" i="31"/>
  <c r="E16" i="31"/>
  <c r="F16" i="31"/>
  <c r="E17" i="31"/>
  <c r="F17" i="31"/>
  <c r="E18" i="31"/>
  <c r="F18" i="31"/>
  <c r="E19" i="31"/>
  <c r="F19" i="31"/>
  <c r="E20" i="31"/>
  <c r="F20" i="31"/>
  <c r="E27" i="31"/>
  <c r="F27" i="31"/>
  <c r="E28" i="31"/>
  <c r="F28" i="31"/>
  <c r="E29" i="31"/>
  <c r="F29" i="31"/>
  <c r="E32" i="31"/>
  <c r="F32" i="31"/>
  <c r="E33" i="31"/>
  <c r="F33" i="31"/>
  <c r="E34" i="31"/>
  <c r="F34" i="31"/>
  <c r="E35" i="31"/>
  <c r="F35" i="31"/>
  <c r="E36" i="31"/>
  <c r="F36" i="31"/>
  <c r="D15" i="31"/>
  <c r="D16" i="31"/>
  <c r="D17" i="31"/>
  <c r="D18" i="31"/>
  <c r="D19" i="31"/>
  <c r="D20" i="31"/>
  <c r="D27" i="31"/>
  <c r="D28" i="31"/>
  <c r="D29" i="31"/>
  <c r="D32" i="31"/>
  <c r="D33" i="31"/>
  <c r="D34" i="31"/>
  <c r="D35" i="31"/>
  <c r="D36" i="31"/>
  <c r="E7" i="31"/>
  <c r="F7" i="31"/>
  <c r="E8" i="31"/>
  <c r="F8" i="31"/>
  <c r="D8" i="31"/>
  <c r="D10" i="31"/>
  <c r="D7" i="31"/>
  <c r="I31" i="40"/>
  <c r="K15" i="40"/>
  <c r="J15" i="40"/>
  <c r="I15" i="40"/>
  <c r="K40" i="39"/>
  <c r="J40" i="39"/>
  <c r="I40" i="39"/>
  <c r="K31" i="39"/>
  <c r="J31" i="39"/>
  <c r="I31" i="39"/>
  <c r="F31" i="39"/>
  <c r="E31" i="39"/>
  <c r="D31" i="39"/>
  <c r="K24" i="39"/>
  <c r="J24" i="39"/>
  <c r="I24" i="39"/>
  <c r="I10" i="39"/>
  <c r="J10" i="39" s="1"/>
  <c r="K10" i="39" s="1"/>
  <c r="D10" i="39"/>
  <c r="D15" i="39" s="1"/>
  <c r="I9" i="39"/>
  <c r="J9" i="39" s="1"/>
  <c r="K9" i="39" s="1"/>
  <c r="I8" i="39"/>
  <c r="J8" i="39" s="1"/>
  <c r="K40" i="38"/>
  <c r="J40" i="38"/>
  <c r="I40" i="38"/>
  <c r="K31" i="38"/>
  <c r="J31" i="38"/>
  <c r="I31" i="38"/>
  <c r="F31" i="38"/>
  <c r="E31" i="38"/>
  <c r="D31" i="38"/>
  <c r="K24" i="38"/>
  <c r="J24" i="38"/>
  <c r="I24" i="38"/>
  <c r="D15" i="38"/>
  <c r="I10" i="38"/>
  <c r="J10" i="38" s="1"/>
  <c r="K10" i="38" s="1"/>
  <c r="E10" i="38"/>
  <c r="E15" i="38" s="1"/>
  <c r="I9" i="38"/>
  <c r="J8" i="38"/>
  <c r="J9" i="38" s="1"/>
  <c r="I15" i="38" l="1"/>
  <c r="I26" i="38" s="1"/>
  <c r="D22" i="38" s="1"/>
  <c r="D24" i="38" s="1"/>
  <c r="D26" i="38" s="1"/>
  <c r="J42" i="38"/>
  <c r="J42" i="39"/>
  <c r="S23" i="11"/>
  <c r="S25" i="11" s="1"/>
  <c r="E10" i="39"/>
  <c r="F10" i="39" s="1"/>
  <c r="F15" i="39" s="1"/>
  <c r="J15" i="38"/>
  <c r="J26" i="38" s="1"/>
  <c r="E22" i="38" s="1"/>
  <c r="E24" i="38" s="1"/>
  <c r="E26" i="38" s="1"/>
  <c r="I42" i="38"/>
  <c r="K42" i="38"/>
  <c r="I42" i="39"/>
  <c r="K42" i="39"/>
  <c r="D38" i="39"/>
  <c r="D40" i="39" s="1"/>
  <c r="D42" i="39" s="1"/>
  <c r="K8" i="38"/>
  <c r="K9" i="38" s="1"/>
  <c r="K15" i="38" s="1"/>
  <c r="K26" i="38" s="1"/>
  <c r="E38" i="38"/>
  <c r="E40" i="38" s="1"/>
  <c r="F10" i="38"/>
  <c r="F15" i="38" s="1"/>
  <c r="J15" i="39"/>
  <c r="J26" i="39" s="1"/>
  <c r="K8" i="39"/>
  <c r="K15" i="39" s="1"/>
  <c r="K26" i="39" s="1"/>
  <c r="I15" i="39"/>
  <c r="I26" i="39" s="1"/>
  <c r="F38" i="39"/>
  <c r="F40" i="39" s="1"/>
  <c r="F42" i="39" s="1"/>
  <c r="E38" i="39"/>
  <c r="E40" i="39" s="1"/>
  <c r="E42" i="39" s="1"/>
  <c r="J44" i="38"/>
  <c r="E42" i="38"/>
  <c r="D38" i="38"/>
  <c r="D40" i="38" s="1"/>
  <c r="D42" i="38" s="1"/>
  <c r="F38" i="38"/>
  <c r="F40" i="38" s="1"/>
  <c r="F42" i="38" s="1"/>
  <c r="I44" i="38" l="1"/>
  <c r="E15" i="39"/>
  <c r="E44" i="38"/>
  <c r="D44" i="38"/>
  <c r="J44" i="39"/>
  <c r="E22" i="39"/>
  <c r="E24" i="39" s="1"/>
  <c r="F22" i="39"/>
  <c r="F24" i="39" s="1"/>
  <c r="F26" i="39" s="1"/>
  <c r="F44" i="39" s="1"/>
  <c r="K44" i="39"/>
  <c r="I44" i="39"/>
  <c r="D22" i="39"/>
  <c r="D24" i="39" s="1"/>
  <c r="D26" i="39" s="1"/>
  <c r="D44" i="39" s="1"/>
  <c r="K44" i="38"/>
  <c r="F22" i="38"/>
  <c r="F24" i="38" s="1"/>
  <c r="F26" i="38" s="1"/>
  <c r="F44" i="38" s="1"/>
  <c r="E26" i="39" l="1"/>
  <c r="E44" i="39" s="1"/>
  <c r="K40" i="37"/>
  <c r="J40" i="37"/>
  <c r="I40" i="37"/>
  <c r="K31" i="37"/>
  <c r="J31" i="37"/>
  <c r="I31" i="37"/>
  <c r="F31" i="37"/>
  <c r="E31" i="37"/>
  <c r="D31" i="37"/>
  <c r="K24" i="37"/>
  <c r="J24" i="37"/>
  <c r="I24" i="37"/>
  <c r="K15" i="37"/>
  <c r="J15" i="37"/>
  <c r="I15" i="37"/>
  <c r="F15" i="37"/>
  <c r="E15" i="37"/>
  <c r="D15" i="37"/>
  <c r="K26" i="37" l="1"/>
  <c r="F22" i="37" s="1"/>
  <c r="F24" i="37" s="1"/>
  <c r="F26" i="37" s="1"/>
  <c r="J42" i="37"/>
  <c r="J26" i="37"/>
  <c r="J44" i="37" s="1"/>
  <c r="I42" i="37"/>
  <c r="K42" i="37"/>
  <c r="K44" i="37" s="1"/>
  <c r="I26" i="37"/>
  <c r="D22" i="37" s="1"/>
  <c r="D24" i="37" s="1"/>
  <c r="D26" i="37" s="1"/>
  <c r="F38" i="37"/>
  <c r="F40" i="37" s="1"/>
  <c r="F42" i="37" s="1"/>
  <c r="I44" i="37"/>
  <c r="D38" i="37"/>
  <c r="D40" i="37" s="1"/>
  <c r="D42" i="37" s="1"/>
  <c r="E38" i="37"/>
  <c r="E40" i="37" s="1"/>
  <c r="E42" i="37" s="1"/>
  <c r="K40" i="36"/>
  <c r="J40" i="36"/>
  <c r="I40" i="36"/>
  <c r="F31" i="36"/>
  <c r="E31" i="36"/>
  <c r="D31" i="36"/>
  <c r="I28" i="36"/>
  <c r="J28" i="36" s="1"/>
  <c r="K24" i="36"/>
  <c r="J24" i="36"/>
  <c r="I24" i="36"/>
  <c r="I10" i="36"/>
  <c r="J10" i="36" s="1"/>
  <c r="K10" i="36" s="1"/>
  <c r="D10" i="36"/>
  <c r="I9" i="36"/>
  <c r="J9" i="36" s="1"/>
  <c r="K9" i="36" s="1"/>
  <c r="I8" i="36"/>
  <c r="K40" i="35"/>
  <c r="J40" i="35"/>
  <c r="I40" i="35"/>
  <c r="K31" i="35"/>
  <c r="K42" i="35" s="1"/>
  <c r="J31" i="35"/>
  <c r="I31" i="35"/>
  <c r="F31" i="35"/>
  <c r="E31" i="35"/>
  <c r="E30" i="31" s="1"/>
  <c r="D31" i="35"/>
  <c r="K24" i="35"/>
  <c r="J24" i="35"/>
  <c r="I24" i="35"/>
  <c r="D15" i="35"/>
  <c r="I10" i="35"/>
  <c r="E10" i="35"/>
  <c r="F10" i="35" s="1"/>
  <c r="I9" i="35"/>
  <c r="I8" i="31" s="1"/>
  <c r="I8" i="35"/>
  <c r="I42" i="35" l="1"/>
  <c r="J39" i="31"/>
  <c r="J40" i="31" s="1"/>
  <c r="K39" i="31"/>
  <c r="K40" i="31" s="1"/>
  <c r="E22" i="37"/>
  <c r="E24" i="37" s="1"/>
  <c r="E26" i="37" s="1"/>
  <c r="E44" i="37" s="1"/>
  <c r="I39" i="31"/>
  <c r="I40" i="31" s="1"/>
  <c r="I15" i="36"/>
  <c r="I26" i="36" s="1"/>
  <c r="J8" i="35"/>
  <c r="K8" i="35" s="1"/>
  <c r="I7" i="31"/>
  <c r="J9" i="35"/>
  <c r="J8" i="31" s="1"/>
  <c r="J8" i="36"/>
  <c r="K8" i="36" s="1"/>
  <c r="K15" i="36" s="1"/>
  <c r="K26" i="36" s="1"/>
  <c r="J10" i="35"/>
  <c r="K10" i="35" s="1"/>
  <c r="K9" i="31" s="1"/>
  <c r="I9" i="31"/>
  <c r="I14" i="31" s="1"/>
  <c r="E10" i="36"/>
  <c r="E15" i="36" s="1"/>
  <c r="D9" i="31"/>
  <c r="D14" i="31" s="1"/>
  <c r="I31" i="36"/>
  <c r="D38" i="36" s="1"/>
  <c r="D40" i="36" s="1"/>
  <c r="D42" i="36" s="1"/>
  <c r="I27" i="31"/>
  <c r="I30" i="31" s="1"/>
  <c r="I42" i="31" s="1"/>
  <c r="F44" i="37"/>
  <c r="D44" i="37"/>
  <c r="K28" i="36"/>
  <c r="J27" i="31"/>
  <c r="J30" i="31" s="1"/>
  <c r="J42" i="31" s="1"/>
  <c r="J15" i="36"/>
  <c r="J26" i="36" s="1"/>
  <c r="D30" i="31"/>
  <c r="J42" i="35"/>
  <c r="F38" i="35"/>
  <c r="F15" i="35"/>
  <c r="E15" i="35"/>
  <c r="F30" i="31"/>
  <c r="D15" i="36"/>
  <c r="J31" i="36"/>
  <c r="E38" i="35"/>
  <c r="I15" i="35"/>
  <c r="I26" i="35" s="1"/>
  <c r="D38" i="35"/>
  <c r="I42" i="36" l="1"/>
  <c r="I44" i="36" s="1"/>
  <c r="J9" i="31"/>
  <c r="F10" i="36"/>
  <c r="F15" i="36" s="1"/>
  <c r="E9" i="31"/>
  <c r="E14" i="31" s="1"/>
  <c r="K9" i="35"/>
  <c r="K8" i="31" s="1"/>
  <c r="J7" i="31"/>
  <c r="J14" i="31" s="1"/>
  <c r="J15" i="35"/>
  <c r="J26" i="35" s="1"/>
  <c r="J44" i="35" s="1"/>
  <c r="E22" i="36"/>
  <c r="E24" i="36" s="1"/>
  <c r="E26" i="36" s="1"/>
  <c r="K31" i="36"/>
  <c r="K27" i="31"/>
  <c r="K30" i="31" s="1"/>
  <c r="K42" i="31" s="1"/>
  <c r="D40" i="35"/>
  <c r="D42" i="35" s="1"/>
  <c r="D37" i="31"/>
  <c r="D40" i="31" s="1"/>
  <c r="D42" i="31" s="1"/>
  <c r="E40" i="35"/>
  <c r="E42" i="35" s="1"/>
  <c r="F40" i="35"/>
  <c r="F42" i="35" s="1"/>
  <c r="K15" i="35"/>
  <c r="K26" i="35" s="1"/>
  <c r="K44" i="35" s="1"/>
  <c r="K7" i="31"/>
  <c r="J42" i="36"/>
  <c r="J44" i="36" s="1"/>
  <c r="E38" i="36"/>
  <c r="E40" i="36" s="1"/>
  <c r="E42" i="36" s="1"/>
  <c r="D22" i="36"/>
  <c r="D24" i="36" s="1"/>
  <c r="D26" i="36" s="1"/>
  <c r="D44" i="36" s="1"/>
  <c r="F22" i="36"/>
  <c r="F24" i="36" s="1"/>
  <c r="F26" i="36" s="1"/>
  <c r="D22" i="35"/>
  <c r="I44" i="35"/>
  <c r="E22" i="27"/>
  <c r="B22" i="27"/>
  <c r="E22" i="35" l="1"/>
  <c r="J20" i="41" s="1"/>
  <c r="F22" i="35"/>
  <c r="K14" i="31"/>
  <c r="F9" i="31"/>
  <c r="F14" i="31" s="1"/>
  <c r="D21" i="31"/>
  <c r="D23" i="31" s="1"/>
  <c r="D25" i="31" s="1"/>
  <c r="D44" i="31" s="1"/>
  <c r="I20" i="41"/>
  <c r="E21" i="31"/>
  <c r="E23" i="31" s="1"/>
  <c r="E25" i="31" s="1"/>
  <c r="F21" i="31"/>
  <c r="F23" i="31" s="1"/>
  <c r="K20" i="41"/>
  <c r="E44" i="36"/>
  <c r="F38" i="36"/>
  <c r="K42" i="36"/>
  <c r="K44" i="36" s="1"/>
  <c r="E37" i="31"/>
  <c r="E40" i="31" s="1"/>
  <c r="E42" i="31" s="1"/>
  <c r="E24" i="35"/>
  <c r="E26" i="35" s="1"/>
  <c r="E44" i="35" s="1"/>
  <c r="D24" i="35"/>
  <c r="D26" i="35" s="1"/>
  <c r="D44" i="35" s="1"/>
  <c r="F24" i="35"/>
  <c r="F26" i="35" s="1"/>
  <c r="F44" i="35" s="1"/>
  <c r="H22" i="27"/>
  <c r="F25" i="31" l="1"/>
  <c r="K20" i="31"/>
  <c r="K23" i="31" s="1"/>
  <c r="K25" i="31" s="1"/>
  <c r="K44" i="31" s="1"/>
  <c r="K23" i="41"/>
  <c r="K25" i="41" s="1"/>
  <c r="K44" i="41" s="1"/>
  <c r="J20" i="31"/>
  <c r="J23" i="31" s="1"/>
  <c r="J25" i="31" s="1"/>
  <c r="J44" i="31" s="1"/>
  <c r="J23" i="41"/>
  <c r="J25" i="41" s="1"/>
  <c r="J44" i="41" s="1"/>
  <c r="I20" i="31"/>
  <c r="I23" i="31" s="1"/>
  <c r="I25" i="31" s="1"/>
  <c r="I44" i="31" s="1"/>
  <c r="I23" i="41"/>
  <c r="I25" i="41" s="1"/>
  <c r="I44" i="41" s="1"/>
  <c r="E44" i="31"/>
  <c r="F40" i="36"/>
  <c r="F42" i="36" s="1"/>
  <c r="F44" i="36" s="1"/>
  <c r="F37" i="31"/>
  <c r="F40" i="31" s="1"/>
  <c r="F42" i="31" s="1"/>
  <c r="B128" i="26"/>
  <c r="B114" i="26"/>
  <c r="F44" i="31" l="1"/>
  <c r="C67" i="26"/>
  <c r="D67" i="26"/>
  <c r="B67" i="26"/>
  <c r="E29" i="26"/>
  <c r="B29" i="26"/>
  <c r="B45" i="23" l="1"/>
  <c r="C34" i="8"/>
  <c r="C37" i="8" s="1"/>
  <c r="B43" i="29"/>
  <c r="B17" i="29" l="1"/>
  <c r="C100" i="26" l="1"/>
  <c r="B100" i="26"/>
  <c r="H29" i="26" l="1"/>
  <c r="C61" i="25"/>
  <c r="D61" i="25"/>
  <c r="B61" i="25"/>
  <c r="C38" i="25"/>
  <c r="D38" i="25"/>
  <c r="B38" i="25"/>
  <c r="C73" i="24"/>
  <c r="D73" i="24"/>
  <c r="B73" i="24"/>
  <c r="C59" i="24"/>
  <c r="D59" i="24"/>
  <c r="B59" i="24"/>
  <c r="C91" i="23" l="1"/>
  <c r="D91" i="23"/>
  <c r="B91" i="23"/>
  <c r="B59" i="23"/>
</calcChain>
</file>

<file path=xl/comments1.xml><?xml version="1.0" encoding="utf-8"?>
<comments xmlns="http://schemas.openxmlformats.org/spreadsheetml/2006/main">
  <authors>
    <author>szabok</author>
  </authors>
  <commentList>
    <comment ref="C9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Vajda Lászlóné tanulók buszbérlete is itt van.</t>
        </r>
      </text>
    </comment>
    <comment ref="D9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Vajda Lászlóné tanulók buszbérlete is itt van.</t>
        </r>
      </text>
    </comment>
    <comment ref="C86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KMH Sportegyesület:2,5M</t>
        </r>
      </text>
    </comment>
    <comment ref="D86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KMH Sportegyesület:2,5M</t>
        </r>
      </text>
    </comment>
  </commentList>
</comments>
</file>

<file path=xl/comments2.xml><?xml version="1.0" encoding="utf-8"?>
<comments xmlns="http://schemas.openxmlformats.org/spreadsheetml/2006/main">
  <authors>
    <author>szabok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csökkentve a finanszírozással</t>
        </r>
      </text>
    </comment>
    <comment ref="E21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csökkentve a finanszírozással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csökkentve a finaszírozással</t>
        </r>
      </text>
    </comment>
  </commentList>
</comments>
</file>

<file path=xl/comments3.xml><?xml version="1.0" encoding="utf-8"?>
<comments xmlns="http://schemas.openxmlformats.org/spreadsheetml/2006/main">
  <authors>
    <author>szabok</author>
  </authors>
  <commentList>
    <comment ref="B6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29.sz. mellékletből 2015-2024-ig</t>
        </r>
      </text>
    </comment>
    <comment ref="C6" authorId="0">
      <text>
        <r>
          <rPr>
            <b/>
            <sz val="8"/>
            <color indexed="81"/>
            <rFont val="Tahoma"/>
            <family val="2"/>
            <charset val="238"/>
          </rPr>
          <t>szabok:</t>
        </r>
        <r>
          <rPr>
            <sz val="8"/>
            <color indexed="81"/>
            <rFont val="Tahoma"/>
            <family val="2"/>
            <charset val="238"/>
          </rPr>
          <t xml:space="preserve">
gépjármű adóval csökkenteve, és bírság külön soron kimutatva</t>
        </r>
      </text>
    </comment>
    <comment ref="D6" authorId="0">
      <text>
        <r>
          <rPr>
            <b/>
            <sz val="8"/>
            <color indexed="81"/>
            <rFont val="Tahoma"/>
            <family val="2"/>
            <charset val="238"/>
          </rPr>
          <t>szabok:</t>
        </r>
        <r>
          <rPr>
            <sz val="8"/>
            <color indexed="81"/>
            <rFont val="Tahoma"/>
            <family val="2"/>
            <charset val="238"/>
          </rPr>
          <t xml:space="preserve">
gépjármű adóval csökkenteve, és bírság külön soron kimutatva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38"/>
          </rPr>
          <t>szabok:</t>
        </r>
        <r>
          <rPr>
            <sz val="8"/>
            <color indexed="81"/>
            <rFont val="Tahoma"/>
            <family val="2"/>
            <charset val="238"/>
          </rPr>
          <t xml:space="preserve">
gépjármű adóval csökkenteve, és bírság külön soron kimutatva</t>
        </r>
      </text>
    </comment>
  </commentList>
</comments>
</file>

<file path=xl/comments4.xml><?xml version="1.0" encoding="utf-8"?>
<comments xmlns="http://schemas.openxmlformats.org/spreadsheetml/2006/main">
  <authors>
    <author>szabok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komm.adó, építm. Adó, telekadó, ipa., idegenforg.a., talajterh., </t>
        </r>
      </text>
    </commen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szabok: 2. űrlap</t>
        </r>
        <r>
          <rPr>
            <sz val="9"/>
            <color indexed="81"/>
            <rFont val="Tahoma"/>
            <family val="2"/>
            <charset val="238"/>
          </rPr>
          <t xml:space="preserve">
B404. sor</t>
        </r>
      </text>
    </comment>
    <comment ref="D9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2. űrlap B52. sor</t>
        </r>
      </text>
    </comment>
    <comment ref="D10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2 űrlap B36</t>
        </r>
      </text>
    </comment>
  </commentList>
</comments>
</file>

<file path=xl/comments5.xml><?xml version="1.0" encoding="utf-8"?>
<comments xmlns="http://schemas.openxmlformats.org/spreadsheetml/2006/main">
  <authors>
    <author>szabok</author>
  </authors>
  <commentList>
    <comment ref="E11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2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3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5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6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7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20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21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E22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AE34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adatok pminfo-ból
</t>
        </r>
      </text>
    </comment>
    <comment ref="E35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beruházások elosztva a jelenlegi ismeretek alapján, hogy melyik mikor valósul meg</t>
        </r>
      </text>
    </comment>
    <comment ref="B37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helyi adó bevételek</t>
        </r>
      </text>
    </comment>
    <comment ref="C37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helyi adó bevételek</t>
        </r>
      </text>
    </comment>
    <comment ref="E40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sportcsarnok ép itt</t>
        </r>
      </text>
    </comment>
    <comment ref="B43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helyi adó bevételek</t>
        </r>
      </text>
    </comment>
    <comment ref="H80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KGR-ből PMINFO bevétel és kiadás adatok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pénzmaradvány figyelembe véve minden intézménynél</t>
        </r>
      </text>
    </comment>
  </commentList>
</comments>
</file>

<file path=xl/sharedStrings.xml><?xml version="1.0" encoding="utf-8"?>
<sst xmlns="http://schemas.openxmlformats.org/spreadsheetml/2006/main" count="4501" uniqueCount="1856">
  <si>
    <t>Ezer Ft-ban</t>
  </si>
  <si>
    <t xml:space="preserve">Ebből: </t>
  </si>
  <si>
    <t xml:space="preserve">Hónap </t>
  </si>
  <si>
    <t xml:space="preserve">Bevétel </t>
  </si>
  <si>
    <t>Kiadás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</si>
  <si>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</si>
  <si>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</si>
  <si>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</si>
  <si>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</si>
  <si>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</si>
  <si>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</si>
  <si>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</si>
  <si>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</si>
  <si>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</si>
  <si>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</si>
  <si>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</si>
  <si>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 xml:space="preserve">December </t>
  </si>
  <si>
    <t>Összesen</t>
  </si>
  <si>
    <t xml:space="preserve">Költségvetési </t>
  </si>
  <si>
    <t xml:space="preserve">Hitel </t>
  </si>
  <si>
    <t xml:space="preserve">Felvétel </t>
  </si>
  <si>
    <t xml:space="preserve">Törlesztés </t>
  </si>
  <si>
    <t xml:space="preserve">KIMUTATÁS </t>
  </si>
  <si>
    <t xml:space="preserve">Ezer Ft-ban </t>
  </si>
  <si>
    <t xml:space="preserve">Közvetett támogatás megnevezése </t>
  </si>
  <si>
    <t>Helyi adónál biztosított kedvezmény összege</t>
  </si>
  <si>
    <t xml:space="preserve">       - építményadó</t>
  </si>
  <si>
    <t xml:space="preserve">       - telekadó</t>
  </si>
  <si>
    <t xml:space="preserve">       - vállalkozások kommunális adója</t>
  </si>
  <si>
    <t xml:space="preserve">       - magánszemélyek kommunális adója</t>
  </si>
  <si>
    <t xml:space="preserve">       - idegenforgalmi adó tartózkodás után </t>
  </si>
  <si>
    <t xml:space="preserve">       - idegenforgalmi adó épületek után </t>
  </si>
  <si>
    <t xml:space="preserve">       - iparűzési adó állandó jelleggel végzett iparűzési tevékenység után </t>
  </si>
  <si>
    <t>Helyi adónál biztosított mentesség összege</t>
  </si>
  <si>
    <t>Egyéb nyújtott kedvezmény vagy kölcsön elengedésének összege</t>
  </si>
  <si>
    <t>Gépjárműadónál biztosított mentesség összege</t>
  </si>
  <si>
    <t xml:space="preserve">ÖSSZESEN </t>
  </si>
  <si>
    <t>Gépjárműadónál biztosított kedvezmény összege</t>
  </si>
  <si>
    <t xml:space="preserve">       - iparűzési adó ideiglenes jelleggel végzett iparűzési tevék. után </t>
  </si>
  <si>
    <t>Helyiségek, eszközök hasznosításából származó kedvezmény összege</t>
  </si>
  <si>
    <t>Helyiségek, eszközök hasznosításából származó mentesség összege</t>
  </si>
  <si>
    <t xml:space="preserve">Szöveges indokolás: </t>
  </si>
  <si>
    <t xml:space="preserve">Összesen </t>
  </si>
  <si>
    <t xml:space="preserve">Ellátottak térítési díjának, kártérítésének méltányossági alapon történő elengedésének összege  </t>
  </si>
  <si>
    <t xml:space="preserve">Lakosság részére lakásépítéshez, lakásfelújításhoz nyújtott kölcsönök elengedésének összege </t>
  </si>
  <si>
    <t>Több éves kihatással járó döntések</t>
  </si>
  <si>
    <t xml:space="preserve">  számszerűsítése</t>
  </si>
  <si>
    <t xml:space="preserve">                </t>
  </si>
  <si>
    <t xml:space="preserve">     Ezer Ft-ban</t>
  </si>
  <si>
    <t>Hitel törlesztés</t>
  </si>
  <si>
    <t xml:space="preserve">Megnevezés </t>
  </si>
  <si>
    <t>2016. év</t>
  </si>
  <si>
    <t>2017. év</t>
  </si>
  <si>
    <t xml:space="preserve">………..…………… felújítás </t>
  </si>
  <si>
    <t>……. pénzügyi lízingből eredő kötelezettség</t>
  </si>
  <si>
    <t xml:space="preserve">EU-s projekt címe: </t>
  </si>
  <si>
    <t xml:space="preserve">Projekt azonosítója: </t>
  </si>
  <si>
    <t xml:space="preserve">Bevételek </t>
  </si>
  <si>
    <t>Saját erő</t>
  </si>
  <si>
    <t>Saját erőből központi támogatás</t>
  </si>
  <si>
    <t xml:space="preserve">Társfinanszírozás </t>
  </si>
  <si>
    <t xml:space="preserve">Egyéb forrás </t>
  </si>
  <si>
    <t xml:space="preserve">Bevételek összesen </t>
  </si>
  <si>
    <t xml:space="preserve">Kiadások </t>
  </si>
  <si>
    <t xml:space="preserve">Kadások összesen </t>
  </si>
  <si>
    <t>Európai Uniós forrásból finanszírozott támogatással megvalósuló programok, projektek bevételei, kiadásai</t>
  </si>
  <si>
    <t>KIMUTATÁS</t>
  </si>
  <si>
    <t>1.</t>
  </si>
  <si>
    <t>2.</t>
  </si>
  <si>
    <t>3.</t>
  </si>
  <si>
    <t>Adósságot keletkeztető ügylet megnevezése</t>
  </si>
  <si>
    <t>ezer Ft</t>
  </si>
  <si>
    <t xml:space="preserve">Helyi adóból származó bevétel </t>
  </si>
  <si>
    <t xml:space="preserve">Tárgyieszköz értékesítéséből származó bevétel </t>
  </si>
  <si>
    <t xml:space="preserve">Immateriális jószág értékesítéséből származó bevétel </t>
  </si>
  <si>
    <t xml:space="preserve">Részvény értékesítéséből származó bevétel </t>
  </si>
  <si>
    <t xml:space="preserve">Részesedés értékesítéséből származó bevétel </t>
  </si>
  <si>
    <t xml:space="preserve">Vállalat értékesítéséből vagy privatizációból származó bevétel </t>
  </si>
  <si>
    <t>Bírság-, pótlék- és díjbevétel</t>
  </si>
  <si>
    <t>Kezeséggel kapcsolatos megtérülés</t>
  </si>
  <si>
    <t>Saját bevétel megnevezése *</t>
  </si>
  <si>
    <t>Saját bevétel összesen</t>
  </si>
  <si>
    <t xml:space="preserve">Hitel átvállalásából eredő aktuális tőketartozás </t>
  </si>
  <si>
    <t xml:space="preserve">Kölcsön átvállalásából eredő aktuális tőketartozás </t>
  </si>
  <si>
    <t>A számvitlei törvény (SZt.) szerinti hitelviszonyt megtestesítő értékpapír forgalomba hozatal napjától a beváltás napjáig, kamatozó értékpapír esetén annak névértéke</t>
  </si>
  <si>
    <t>Egyéb értékpapír vételára</t>
  </si>
  <si>
    <t xml:space="preserve">Váltó kibocsátása a kibocsátás napjától a beváltás napjáig és a váltóval kiváltott kötelezettségell megegyező, kamatot nem tartalmazó értéke </t>
  </si>
  <si>
    <t xml:space="preserve">A Szt. szerinti pénzügyi lízing lízingbevevői félként történő megkötése a lízing futamideje alatt és a lizingszerződésben kikötött tőkerész hátralévő összege. </t>
  </si>
  <si>
    <t xml:space="preserve">A visszavásárlási kötelezettség kikötésével megkötött adásvételi szerződés eladói félként történő megkötése - ideértve a Szt. szerinti valódi penziós és óvadéki repóügyleteket is - a visszavásárlásig, és a kikötöttvisszavásárlási ár </t>
  </si>
  <si>
    <t>Szerződésben kapott, legalább háromszázhatvanöt nap időtartamú halasztott fizetés, részletfizetés, és a még ki nem fizetett ellenérték</t>
  </si>
  <si>
    <t>Külföldi hitelintézetek által, származékos műveletek különbözeteként az Államadósság Kezelő Központ Zrt.-nél elhelyezett fedezeti betétek, és azok összege</t>
  </si>
  <si>
    <t>Adósságot keltkeztető ügylet megnevezése **</t>
  </si>
  <si>
    <t xml:space="preserve">** Magyarország gazdasági stabilitásáról szóló 2011. évi CXCIV törvény 3. §  (1) bekezdése alapján </t>
  </si>
  <si>
    <t xml:space="preserve">Adósságot keletkeztető ügyletekből eredő fizetési kötelezettség  összesen </t>
  </si>
  <si>
    <t xml:space="preserve">* Az adósságot keletkeztető ügyletekhez történő hozzájárulás részletes szabályairól szóló 353/2011. (XII.30.) Korm. rendelet 2. § alapján </t>
  </si>
  <si>
    <t xml:space="preserve">a saját bevételek összegéről </t>
  </si>
  <si>
    <t xml:space="preserve">az adósságot keletkeztető ügyletekből eredő fizetési kötelezettségek futamidő végéig fennálló összegéről </t>
  </si>
  <si>
    <t>a kezességvállalásokból a kezesség érvényesíthetőségeig fennálló kötelezettségekről</t>
  </si>
  <si>
    <t xml:space="preserve">ezer Ft </t>
  </si>
  <si>
    <t xml:space="preserve">Kezességvállalás megnevezése </t>
  </si>
  <si>
    <t>I. Fejlesztési cél, amelyek megvalósításához adósságot keletkeztető ügylet megkötése válik, vagy válhat szükségessé</t>
  </si>
  <si>
    <t>Ügylet várható értéke</t>
  </si>
  <si>
    <t xml:space="preserve">2014. év </t>
  </si>
  <si>
    <t>2015. év</t>
  </si>
  <si>
    <t xml:space="preserve">2016. év </t>
  </si>
  <si>
    <t>2024. év</t>
  </si>
  <si>
    <t>2018. év</t>
  </si>
  <si>
    <t>2019. év</t>
  </si>
  <si>
    <t>2020. év</t>
  </si>
  <si>
    <t>2021. év</t>
  </si>
  <si>
    <t>2022. év</t>
  </si>
  <si>
    <t>2023. év</t>
  </si>
  <si>
    <t>2025. év</t>
  </si>
  <si>
    <t>2026. év</t>
  </si>
  <si>
    <t>Megnevezés</t>
  </si>
  <si>
    <t xml:space="preserve">Helyi adók </t>
  </si>
  <si>
    <t>Osztalék, koncssziós díj, hozambevétel</t>
  </si>
  <si>
    <t>Kezességvállalással kapcsolatos megtérülés</t>
  </si>
  <si>
    <t>Saját bevételek összesen</t>
  </si>
  <si>
    <t>Felvett, átvállalt hitel, kölcsön aktuális tőketartozása</t>
  </si>
  <si>
    <t>Hitelviszonyt megtestesítő értékpapír</t>
  </si>
  <si>
    <t xml:space="preserve">Adott váltó (kamat nélkül) </t>
  </si>
  <si>
    <t>Pénzügyi lízing tőkerész hátralévő összege</t>
  </si>
  <si>
    <t xml:space="preserve">Legalább 365 nap időtartamú halasztott fizetés, részletfizetés még ki nem fizett ellenértéke </t>
  </si>
  <si>
    <t xml:space="preserve">Fizetési kötelezettség összesen </t>
  </si>
  <si>
    <t xml:space="preserve">Kezességvállalásból eredő fizetési kötelezettség </t>
  </si>
  <si>
    <t xml:space="preserve">Tárgyi eszköz, immateriális jószág, részvény, részesedés értékesítéséből származó bevétel </t>
  </si>
  <si>
    <t xml:space="preserve">Az önkormányzat saját bevételeinek és az adósságot keletkeztető ügyleteiből eredő fizetési kötelezettségének bemutatása*  </t>
  </si>
  <si>
    <t xml:space="preserve">* Az államháztartásról szóló 2011. évi CXCV. törvény 23. § (2) bekezdés g) pontja alapján </t>
  </si>
  <si>
    <t>Visszavásárlási kötelezettség kikötésével megkötött adásvételi szerződés</t>
  </si>
  <si>
    <t>ezer Ft-ban</t>
  </si>
  <si>
    <t>2027. év</t>
  </si>
  <si>
    <t xml:space="preserve">   2014. évi  ELŐIRÁNYZAT-FELHASZNÁLÁSI TERV</t>
  </si>
  <si>
    <t xml:space="preserve">a közvetett támogatások 2014. évi tervezett összegéről </t>
  </si>
  <si>
    <t>2028. év</t>
  </si>
  <si>
    <t xml:space="preserve">  </t>
  </si>
  <si>
    <t xml:space="preserve">2018. év után </t>
  </si>
  <si>
    <t xml:space="preserve">22. melléklet </t>
  </si>
  <si>
    <t xml:space="preserve">A futamidő végéig fennálló összeg </t>
  </si>
  <si>
    <t>Az adósságot keletkeztető ügyletek futamidejének végéig</t>
  </si>
  <si>
    <t xml:space="preserve">21. melléklet </t>
  </si>
  <si>
    <t xml:space="preserve">23. melléklet </t>
  </si>
  <si>
    <t xml:space="preserve">24. melléklet </t>
  </si>
  <si>
    <t xml:space="preserve">25. melléklet </t>
  </si>
  <si>
    <t xml:space="preserve">26. melléklet </t>
  </si>
  <si>
    <t>Mindösszesen</t>
  </si>
  <si>
    <t xml:space="preserve">Kv.-i szervek összesen </t>
  </si>
  <si>
    <t>Önkormányzat</t>
  </si>
  <si>
    <t>MEGNEVEZÉS</t>
  </si>
  <si>
    <t xml:space="preserve">                Ezer Ft-ban </t>
  </si>
  <si>
    <t xml:space="preserve">B16. Egyéb működési célú támogatások bevételei államháztartáson belülről </t>
  </si>
  <si>
    <t xml:space="preserve">B15. Működ. célú visszatérítendő támogatások, kölcsönök igénybevétele államháztartáson belülről  </t>
  </si>
  <si>
    <t xml:space="preserve">MEGNEVEZÉS </t>
  </si>
  <si>
    <t xml:space="preserve">B115. Működési célú központosított előirányzatok </t>
  </si>
  <si>
    <t xml:space="preserve">B63. Egyéb működési célú átvett pénzeszközök </t>
  </si>
  <si>
    <t xml:space="preserve">B62. Működ. célú visszatérítendő támogatások, kölcsönök visszatérülése államháztartáson kívülről  </t>
  </si>
  <si>
    <t>g) szabálysértési pénz- és helyszínbírság önormányzatot megillető rész</t>
  </si>
  <si>
    <t>f) építésügyi bírság</t>
  </si>
  <si>
    <t>e) természetvédelmi bírság</t>
  </si>
  <si>
    <t>d) környezetvédelmi bírság</t>
  </si>
  <si>
    <t>c) ebrendészeti hozzájárulás</t>
  </si>
  <si>
    <t xml:space="preserve">b) igazgatási szolgáltatási díj </t>
  </si>
  <si>
    <t>a) eljárási illeték</t>
  </si>
  <si>
    <t>c) a korábbi évek megszűnt adónemei áthúzódó befiz.-ből befolyt bevétel</t>
  </si>
  <si>
    <t>b) talajterhelési díj</t>
  </si>
  <si>
    <t>a) tartózkodás után fizetett idegenforgalmi adó</t>
  </si>
  <si>
    <t xml:space="preserve">B355. Egyéb áruhasználati és szolgáltatási adók </t>
  </si>
  <si>
    <t xml:space="preserve">B354. Gépjárműadó </t>
  </si>
  <si>
    <t>a) iparűzési adó</t>
  </si>
  <si>
    <t>B351. Értékesítési és forgalmi adók</t>
  </si>
  <si>
    <t>d) telekadó</t>
  </si>
  <si>
    <t xml:space="preserve">c) magánszemélyek kommunális adója </t>
  </si>
  <si>
    <t xml:space="preserve">b) épület után fizetett idegenforgalmi adó </t>
  </si>
  <si>
    <t xml:space="preserve">a) építményadó </t>
  </si>
  <si>
    <t>a) termőföld bérbeadásából származó szem .jöv .adó</t>
  </si>
  <si>
    <t>Ebből:</t>
  </si>
  <si>
    <t xml:space="preserve">B311. Magánszemélyek jövedelemadói </t>
  </si>
  <si>
    <t xml:space="preserve">B3 KÖZHATALMI BEVÉTELEK RÉSZLETEZÉSE </t>
  </si>
  <si>
    <t xml:space="preserve">B73. Egyéb felhalmozási célú átvett pénzeszközök </t>
  </si>
  <si>
    <t xml:space="preserve">B72. Felhalmozási célú visszatérítendő támogatások, kölcsönök visszatérülése államháztartáson kívülről  </t>
  </si>
  <si>
    <t xml:space="preserve">B25. Egyéb felhalmozási célú támogatások bevételei államháztartáson belülről </t>
  </si>
  <si>
    <t xml:space="preserve">B24. Felhalmozási célú visszatérítendő támogatások, kölcsönök igénybevétele államháztartáson belülről  </t>
  </si>
  <si>
    <t xml:space="preserve">B23. Felhalmozási célú visszatérítendő támogatások, kölcsönök visszatérülése államáhztartáson belülről  </t>
  </si>
  <si>
    <t xml:space="preserve">B21. Felhalmozási célú önkormányzati támogatások </t>
  </si>
  <si>
    <t xml:space="preserve">Mindösszesen </t>
  </si>
  <si>
    <t xml:space="preserve">Önkormányzat </t>
  </si>
  <si>
    <t>K511. Egyéb működési célú támogatások államháztartáson kívülre</t>
  </si>
  <si>
    <t>K508. Működési célú visszatérítendő támogatások, kölcsönök nyújtása államháztartáson kívülre</t>
  </si>
  <si>
    <t xml:space="preserve">K506. Egyéb működési célú támogatások államháztartáson belülre </t>
  </si>
  <si>
    <t xml:space="preserve">K505. Működési célú visszatérítendő támogatások, kölcsönök törlesztése államháztartáson belülre </t>
  </si>
  <si>
    <t xml:space="preserve">K504. Működési célú visszatérítendő támogatások, kölcsönök nyújtása államháztartáson belülre </t>
  </si>
  <si>
    <t xml:space="preserve">K4. Elátottak pénzbeli juttatásai </t>
  </si>
  <si>
    <t>Egyéb felhalmozási kiadások összesen</t>
  </si>
  <si>
    <t>Kv.-i szervek</t>
  </si>
  <si>
    <t xml:space="preserve">Előirányzat összege </t>
  </si>
  <si>
    <t xml:space="preserve">feladatonkénti részletezése </t>
  </si>
  <si>
    <t xml:space="preserve">K8. Egyéb felhalmozási kiadások  </t>
  </si>
  <si>
    <t>15. melléklet</t>
  </si>
  <si>
    <t xml:space="preserve">K7. Felújítások </t>
  </si>
  <si>
    <t>Céltartalék  összesen</t>
  </si>
  <si>
    <t xml:space="preserve"> </t>
  </si>
  <si>
    <t xml:space="preserve">            Ezer Ft-ban</t>
  </si>
  <si>
    <t xml:space="preserve">Céltartalék célonkénti részletezése </t>
  </si>
  <si>
    <t xml:space="preserve">8 órás </t>
  </si>
  <si>
    <t xml:space="preserve">6 órás </t>
  </si>
  <si>
    <t xml:space="preserve">4 órás </t>
  </si>
  <si>
    <t xml:space="preserve">Engedélyezett létszám (fő) </t>
  </si>
  <si>
    <t>Költségvetési szerv</t>
  </si>
  <si>
    <t xml:space="preserve"> költségvetési szerv vezetője </t>
  </si>
  <si>
    <t>..........................................</t>
  </si>
  <si>
    <t xml:space="preserve">........................ 2014. ............ hó .... nap </t>
  </si>
  <si>
    <t>meghatározott határnapon túli tartozásállomány.</t>
  </si>
  <si>
    <t xml:space="preserve">(x) Az önkormányzat költségvetési rendeletének ....... §-ában </t>
  </si>
  <si>
    <t>Egyéb tartozásállomány</t>
  </si>
  <si>
    <t xml:space="preserve">Szállítókkal szembeni tartozásállomány </t>
  </si>
  <si>
    <t>és intézményeik felé</t>
  </si>
  <si>
    <t xml:space="preserve">Tartozásállomány önkormányzatok </t>
  </si>
  <si>
    <t>TB alapokkal szembeni tartozás</t>
  </si>
  <si>
    <t xml:space="preserve">szembeni tartozás </t>
  </si>
  <si>
    <t xml:space="preserve">Elkülönített állami pénzalapokkal </t>
  </si>
  <si>
    <t>szemben fennálló tartozás</t>
  </si>
  <si>
    <t>Központi költségvetési szervekkel</t>
  </si>
  <si>
    <t xml:space="preserve">Állammal szembeni tartozások </t>
  </si>
  <si>
    <t>(x)</t>
  </si>
  <si>
    <t xml:space="preserve">tartozásállomány </t>
  </si>
  <si>
    <t>Tartozásállomány megnevezése</t>
  </si>
  <si>
    <t>........ napon túli</t>
  </si>
  <si>
    <t>sorsz.</t>
  </si>
  <si>
    <t xml:space="preserve">(%= az önkormányzat költségvetési rendeletében meghatározott mérték)  </t>
  </si>
  <si>
    <t>Eredeti éves költségvetés kiadási előirányzat ....... %-a:    ......................... eFt</t>
  </si>
  <si>
    <t>Eredeti éves költségvetés kiadási előirányzata:                 ......................... eFt</t>
  </si>
  <si>
    <t>Költségvetési szerv neve: ........................................</t>
  </si>
  <si>
    <t>2014. ......................... hó</t>
  </si>
  <si>
    <t xml:space="preserve">  költségvetési szerv által elismert tartozásállományról </t>
  </si>
  <si>
    <t>Adatszolgáltatás az önkormányzat felügyelete alá tartozó</t>
  </si>
  <si>
    <t>G. KIADÁSOK MINDÖSSZESEN (C+F)</t>
  </si>
  <si>
    <t>G. BEVÉTELEK MINDÖSSZESEN (C+F)</t>
  </si>
  <si>
    <t xml:space="preserve">F. FELHALMOZÁSI KIAD.MINDÖSSZESEN (D+E) </t>
  </si>
  <si>
    <t>F. FELHALMOZÁSI BEVÉT. MINDÖSSZESEN (D+E)</t>
  </si>
  <si>
    <t>E. FINANSZÍROZÁSI KIADÁSOK (K9.) ÖSSZESEN</t>
  </si>
  <si>
    <t xml:space="preserve">E. FINANSZÍROZÁSI BEVÉTELEK (B8.) ÖSSZESEN </t>
  </si>
  <si>
    <t xml:space="preserve">K917. Pénzügyi lízing kiadásai </t>
  </si>
  <si>
    <t xml:space="preserve">K916. Péneszközök betétként elhelyezése </t>
  </si>
  <si>
    <t xml:space="preserve">B816. Központi, irányító szervi támogatás </t>
  </si>
  <si>
    <t xml:space="preserve">K915. Központi, irányítószervi támogatás folyósítása </t>
  </si>
  <si>
    <t>B815. Államháztartáson belüli megelőlegezések törlesztése</t>
  </si>
  <si>
    <t>K914. Államházt.-on belüli megelőlegez. visszafizetése</t>
  </si>
  <si>
    <t xml:space="preserve">B814. Államháztartáson belüli megelőlegezések </t>
  </si>
  <si>
    <t xml:space="preserve">K913. Államháztartáson belüli megelőlegezések folyóstása </t>
  </si>
  <si>
    <t xml:space="preserve">B813. Maradvány igénybevétele </t>
  </si>
  <si>
    <t>K912. Belföldi értékpapírok kiadásai</t>
  </si>
  <si>
    <t>B812. Belföldi értékpapírok bevételei</t>
  </si>
  <si>
    <t xml:space="preserve">K911. Hitel-, kölcsöntörlesztés államházt.-on kívülre </t>
  </si>
  <si>
    <t>B811. Hitel-, és kölcsönfelvétel államházt.-on belülről</t>
  </si>
  <si>
    <t>D. FELHALMOZÁSI KÖLTSÉGVETÉSI KIADÁSOK ÖSSZESEN (K6. …+K8.)</t>
  </si>
  <si>
    <t>D. FELHALMOZÁSI KÖLTSÉGVETÉSI BEVÉTELEK ÖSSZESEN (B2.+B5.+B7.)</t>
  </si>
  <si>
    <t xml:space="preserve">K8. Egyéb felhalmozási célú kiadások </t>
  </si>
  <si>
    <t xml:space="preserve">B.7. Felhalmozási célú átvett pénzeszközök </t>
  </si>
  <si>
    <t xml:space="preserve">B5. Felhalmozási bevételek </t>
  </si>
  <si>
    <t xml:space="preserve">K6. Beruházások </t>
  </si>
  <si>
    <t xml:space="preserve">B2. Felhalmozási célú támogatások államh.-on belülről </t>
  </si>
  <si>
    <t xml:space="preserve">C. MŰKÖDÉSI KIADÁSOK MINDÖSSZESEN (A+B) </t>
  </si>
  <si>
    <t>C. MŰKÖDÉSI BEVÉTELEK MINDÖSSZESEN (A+B)</t>
  </si>
  <si>
    <t>B. FINASZÍROZÁSI KIADÁSOK (K9.) ÖSSZESEN</t>
  </si>
  <si>
    <t xml:space="preserve">B. FINANSZÍROZÁSI BEVÉTELEK (B8.) ÖSSZESEN </t>
  </si>
  <si>
    <t xml:space="preserve">K913. Államházt.-on belüli megelőlegezések folyóstása </t>
  </si>
  <si>
    <t xml:space="preserve">K911. Hitel-, kölcsöntörlesztés államháztartáson kívülre </t>
  </si>
  <si>
    <t>A. MŰKÖDÉSI KÖLTSÉGVETÉSI KIADÁSOK ÖSSZESEN (K1. …+K5.)</t>
  </si>
  <si>
    <t>A. MŰKÖDÉSI KÖLTSÉGVETÉSI BEVÉTELEK ÖSSZESEN (B1+B3+B4+B6)</t>
  </si>
  <si>
    <t xml:space="preserve">                 Céltartalék </t>
  </si>
  <si>
    <t xml:space="preserve">      Ebből: Általános tartalék </t>
  </si>
  <si>
    <t xml:space="preserve">K5. Egyéb működési célú kiadások </t>
  </si>
  <si>
    <t>K4. Ellátottak pénzbeli juttatásai</t>
  </si>
  <si>
    <t>B6. Működési célú átvett pénzeszközök</t>
  </si>
  <si>
    <t xml:space="preserve">K3. Dologi kiadások </t>
  </si>
  <si>
    <t xml:space="preserve">B4. Működési bevételek </t>
  </si>
  <si>
    <t xml:space="preserve">K2. Munkaadót terhelő járulékok és szoc. hozzáj. adó </t>
  </si>
  <si>
    <t xml:space="preserve">B3. Közhatalmi bevételek </t>
  </si>
  <si>
    <t>K1. Személyi juttatás</t>
  </si>
  <si>
    <t xml:space="preserve">B1. Működési célú támogatások államházt.-on belülről </t>
  </si>
  <si>
    <t>Előirányzat összege</t>
  </si>
  <si>
    <t xml:space="preserve">        Ezer Ft-ban</t>
  </si>
  <si>
    <t xml:space="preserve">A költségvetési évet követő három év tervezett előirányzatainak keretszámai főbb csoportokban </t>
  </si>
  <si>
    <t>20. melléklet</t>
  </si>
  <si>
    <t>Üdülőhelyi feladatok</t>
  </si>
  <si>
    <t>Lakott területekkel kapcsolatos feladatok</t>
  </si>
  <si>
    <t xml:space="preserve">Polgármesteri Hivatal </t>
  </si>
  <si>
    <t>Adott kölcsön visszatérülése Erdőkertes Önkormányzat 2012. évi kölcsön</t>
  </si>
  <si>
    <t>Adott kölcsön visszatérülése Erdőkertes Önkormányzat 2013. évi kölcsön</t>
  </si>
  <si>
    <t>Kistérségnél dolgozók bér és járulék költségének megtérítése</t>
  </si>
  <si>
    <t>TB alaptól kapott műk. Célú támogatás -OEP védőnői finanszírozás</t>
  </si>
  <si>
    <t>TB alaptól kapott műk. Célú támogatás -OEP iskola egészségügyi finanszírozás</t>
  </si>
  <si>
    <t>Egyéb működési célú támogatás KIK Gödöllői tanker. Zeneiskolai díjak</t>
  </si>
  <si>
    <t xml:space="preserve">B34. Vagyoni típusú adók </t>
  </si>
  <si>
    <t xml:space="preserve">B36. Egyéb közhatalmi bevételek </t>
  </si>
  <si>
    <t>Fejezeti kezelési előirányzattól EU-s progamok és azok hazai finanszírozása miatti kapott felhalmozási célú támogatások -Bölcsőde építés</t>
  </si>
  <si>
    <t>Helyi önkormányzatoktól és költségvetési szervtől kapott felhalmozási célú támogatás- GAMESZ-tól termálfűtés bevétele</t>
  </si>
  <si>
    <t>Háztartásoktól felhalmozási célú átvett pénzeszköz -útközmű</t>
  </si>
  <si>
    <t>Háztartásoktól felhalmozási célú átvett pénzeszköz -összközmű</t>
  </si>
  <si>
    <t>Polgármesteri Hivatal</t>
  </si>
  <si>
    <t>Házi segítségnyújtás</t>
  </si>
  <si>
    <t>Táborok támogatása</t>
  </si>
  <si>
    <t>Köztemetés támogatása</t>
  </si>
  <si>
    <t>Egyéb önkormányzat rendeletében megállapított pénzbeli juttatás</t>
  </si>
  <si>
    <t>Önkormányzat által saját hatáskörben (nem szociális és gyermekvédelmi ellátások alapján) adott természetbeni ellátás -szociális étkezés-</t>
  </si>
  <si>
    <t>Önkormányzat által saját hatáskörben (nem szociális és gyermekvédelmi ellátások alapján) adott természetbeni ellátás -70 év felettiek karácsonyi csomagja-</t>
  </si>
  <si>
    <t>Pénzbeli gyermekvédelmi támogatás -évente 2X Erzsébet utalvány-</t>
  </si>
  <si>
    <t>Egyéb civil szervezetek műk. Célú támogatása -Rendőrségi Alapítvány</t>
  </si>
  <si>
    <t>Egyéb civil szervezetek műk. Célú támogatása -Polgárőrség</t>
  </si>
  <si>
    <t>Egyéb nem pénzügyi vállalkozásnak műk. Célú támogatás -Kovilo, Ralamed</t>
  </si>
  <si>
    <t>Egyéb civil szervezetek műk. Célú támogatása -Sportkör</t>
  </si>
  <si>
    <t>Egyéb civil szervezetek műk. Célú támogatása -Drago Skorpio</t>
  </si>
  <si>
    <t>Egyéb civil szervezetek műk. Célú támogatása -egyes szakosztályok támogatása</t>
  </si>
  <si>
    <t>Háztartásoknak egyéb műk. Célú támogatás nyújtása - városi futóverseny márc. 15.</t>
  </si>
  <si>
    <t>Háztartásoknak egyéb műk. Célú támogatás nyújtása - városi futóverseny okt.23.</t>
  </si>
  <si>
    <t>Háztartásoknak egyéb műk. Célú támogatás nyújtása - városi sportnap</t>
  </si>
  <si>
    <t>Háztartásoknak egyéb műk. Célú támogatás nyújtása - Segítünk hogy sportolhass</t>
  </si>
  <si>
    <t>Egyéb civil szervezetek műk. Célú támogatása -Oktatási bizottság</t>
  </si>
  <si>
    <t>Egyéb civil szervezetek műk. Célú támogatása -egyéb</t>
  </si>
  <si>
    <t>Egyéb civil szervezetek műk. Célú támogatása -Bursa, alapítványok</t>
  </si>
  <si>
    <t>Háztartásoknak egyéb műk. Célú támogatás nyújtása - egyéb</t>
  </si>
  <si>
    <t>Egyéb külföldinek nyújtott műk. Célú támogatás</t>
  </si>
  <si>
    <t>Veresegyházi Polgármesteri Hivatal</t>
  </si>
  <si>
    <t>Meseliget Városi Önkormányzati Bölcsöde</t>
  </si>
  <si>
    <t>Kéz a Kézben Óvoda</t>
  </si>
  <si>
    <t>Gazdasági Műszaki Ellátó Szervezet</t>
  </si>
  <si>
    <t>Váczi Mihály Művelődési Ház</t>
  </si>
  <si>
    <t>Kölcsey Ferenc Városi Könyvtár</t>
  </si>
  <si>
    <t>Idősek Otthona</t>
  </si>
  <si>
    <t>2014. év</t>
  </si>
  <si>
    <t xml:space="preserve">Munkajogi létszám (fő) </t>
  </si>
  <si>
    <t>Álláshelyek számából</t>
  </si>
  <si>
    <t>főállású dolgozó</t>
  </si>
  <si>
    <t>részfoglalkoztatott</t>
  </si>
  <si>
    <t>Kitöltési segédlet:</t>
  </si>
  <si>
    <t>Álláshelyek száma: Tartalmazza a ténylegesen betöltött és üres álláshelyek számát.</t>
  </si>
  <si>
    <t>A részmunkaidőben foglalkoztatott dolgozói létszámot át kell számítani napi 8 órás foglalkoztatásra.</t>
  </si>
  <si>
    <t xml:space="preserve">(Ide kell beszámítani a GYED-ben, GYES-ben részesülő dolgozói létszámot  is, de a helyettesítésükre </t>
  </si>
  <si>
    <t>felvett dolgozói létszámot nem)</t>
  </si>
  <si>
    <t>Munkajogi létszám: Munkaviszonyban álló dolgozók létszámadata</t>
  </si>
  <si>
    <t>Induló létszám: Ténylegesen betöltött álláshelyek száma.</t>
  </si>
  <si>
    <t>Költségvetési szervek engedélyezett létszáma 2014. évre vonatkozóan</t>
  </si>
  <si>
    <t>Közfoglalkoztatottak engedelyezett létszáma 2014. évre vonatkozóan</t>
  </si>
  <si>
    <t xml:space="preserve">Induló létszám (fő) </t>
  </si>
  <si>
    <t xml:space="preserve"> - Az 1991. évi LXXXII. Tv. 8. § alapján a környezetvédelmi berendezésekre adható kedvezmény.</t>
  </si>
  <si>
    <t xml:space="preserve"> - Az 1991. évi LXXXII. Tv. 5. § (a) pontja alapján költségvetési szerv mentessége </t>
  </si>
  <si>
    <t xml:space="preserve">                                            (f) pontja alapján a mozgáskorlátozottakat megillető mentesség.</t>
  </si>
  <si>
    <t xml:space="preserve">                                     2. § (4) bekezdése alapján mentes bejelentési kötelezettség</t>
  </si>
  <si>
    <t xml:space="preserve">                                     4. § (4) bekezdése alapján mentes lopás miatt rendőrségi igazolás</t>
  </si>
  <si>
    <t>Az 1990. évi C. Tv 3. § (2) bekezdése alapján Társ. Szerv. Alapítvány, ha társasági adófizetése nincs</t>
  </si>
  <si>
    <t>Kedvezményesen bérbeadott helyiség</t>
  </si>
  <si>
    <t>Térítésmentesen bérbeadott, használatba adott helyiségek, közterületek</t>
  </si>
  <si>
    <t>Veresegyházi Meseliget Bölcsőde bővítés III.ütem</t>
  </si>
  <si>
    <t>KMOP-4.5.2-11-2012-0036</t>
  </si>
  <si>
    <t>Csíky és Társa: műszaki ellenőrzés 2013. évről áthúzódó</t>
  </si>
  <si>
    <t>EU-s forrás 2013. évről áthúzódó</t>
  </si>
  <si>
    <t>Veresegyház Város Mindösszesen</t>
  </si>
  <si>
    <t>Veresegyház Város Önkormányzat</t>
  </si>
  <si>
    <t>Költségvetési Intézmények</t>
  </si>
  <si>
    <t>Ápolási díj (méltányossági)</t>
  </si>
  <si>
    <t>Helyi megállapítású közgyógy ellátás</t>
  </si>
  <si>
    <t>Pénzbeli gyermekvédelmi támogatás</t>
  </si>
  <si>
    <t>Pénzbeli gyermekvédelmi támogatás -óvoda 50%</t>
  </si>
  <si>
    <t>Pénzbeli gyermekvédelmi támogatás -óvoda 100%</t>
  </si>
  <si>
    <t>Pénzbeli gyermekvédelmi támogatás -iskola 50%</t>
  </si>
  <si>
    <t>Pénzbeli gyermekvédelmi támogatás -iskola 100%</t>
  </si>
  <si>
    <t>Pénzbeli gyermekvédelmi támogatás -bölcsőde 50%</t>
  </si>
  <si>
    <t>Pénzbeli gyermekvédelmi támogatás -bölcsőde 100%</t>
  </si>
  <si>
    <t>Foglalkoztatással, munkanélküliséggel kapcsolatos ellátások</t>
  </si>
  <si>
    <t>Rendszeres pénzbeli szociális segély</t>
  </si>
  <si>
    <t>Normatív lakásfenntartási támogatás</t>
  </si>
  <si>
    <t>Adósságcsökkentő támogatás</t>
  </si>
  <si>
    <t>Egyéb civil szervezetek műk. Célú támogatása -Környezetvédelmi Alap támogatása</t>
  </si>
  <si>
    <t>Egyéb civil szervezetek műk. Célú támogatása -Esélyegyenlőségi Alap támogatása</t>
  </si>
  <si>
    <t>Helyi önkormányzatok és költségvetési szervének nyújtott működési támogatás -Szolidaritási Alap</t>
  </si>
  <si>
    <t>Szervezet fejlesztés a Veresegyházi Polgármesteri Hivatalban</t>
  </si>
  <si>
    <t>ÁROP-3.A.2-2013</t>
  </si>
  <si>
    <t xml:space="preserve">EU-s forrás </t>
  </si>
  <si>
    <t>Projektvezető külső szakértői díj</t>
  </si>
  <si>
    <t>Szoftver beszrzés</t>
  </si>
  <si>
    <t>Mérnöki szakértői díj</t>
  </si>
  <si>
    <t>Adatbázis tanulmányok készítése</t>
  </si>
  <si>
    <t>Szakmai megvalósítással összefüggő személyi juttatás</t>
  </si>
  <si>
    <t>Rendezvény költség</t>
  </si>
  <si>
    <t>Informatikai fejlesztések Veresegyházon az ASP közont szolgáltatásainak igénybevételéhez</t>
  </si>
  <si>
    <t>KMOP-4.7.1-13</t>
  </si>
  <si>
    <t>Projektmenedzsment költsége</t>
  </si>
  <si>
    <t>Informatikai eszközök beszerzése (számítógép, hálózatfejlesztés, szerver)</t>
  </si>
  <si>
    <t>Reklám tevékenység - tájékoztatási tábla-</t>
  </si>
  <si>
    <t>Egyéb szolgáltatások költsége (migráció, igazgatásszervezés támogatás, IT biztonsági továbbképzés)</t>
  </si>
  <si>
    <t>Saját Bevétel</t>
  </si>
  <si>
    <t>Intézményi finanszírozás</t>
  </si>
  <si>
    <t xml:space="preserve">10.1. melléklet </t>
  </si>
  <si>
    <t xml:space="preserve">10.5. melléklet </t>
  </si>
  <si>
    <t>12.4. melléklet</t>
  </si>
  <si>
    <t>Támogatott megnevezése</t>
  </si>
  <si>
    <t>GAMESZ</t>
  </si>
  <si>
    <t>Bölcsőde</t>
  </si>
  <si>
    <t>Óvoda</t>
  </si>
  <si>
    <t>Könyvtár</t>
  </si>
  <si>
    <t>Művelődési Ház</t>
  </si>
  <si>
    <t xml:space="preserve">K915. Központi, irányítószervi működési támogatás folyósítása </t>
  </si>
  <si>
    <t xml:space="preserve">K915. Központi, irányítószervi felhalmozási támogatás folyósítása </t>
  </si>
  <si>
    <t>Kormányzati funkció</t>
  </si>
  <si>
    <t>Önkormányzat kormányzati funkció összesen</t>
  </si>
  <si>
    <t>ÖNKÉNT VÁLLALT</t>
  </si>
  <si>
    <t>Bruttó</t>
  </si>
  <si>
    <t>011 130 Önkormányzatok és önkormányzati hivatalok jogalkotó és általános igazgatási tevékenységének kiadásai</t>
  </si>
  <si>
    <t>013 350 Az önkormányzati vagyonnal való gazdálkodással kapcsolatos feladatok (nem szociális bérlakás)</t>
  </si>
  <si>
    <t>013 320 Köztemető-fenntartás és -működtetés</t>
  </si>
  <si>
    <t xml:space="preserve">013 370 Informatikai fejlesztések, szolgáltatások </t>
  </si>
  <si>
    <t>016 080 Kiemelt állami és önk-i rendezvények kiadásai</t>
  </si>
  <si>
    <t>042 220 Erdőgazdálkodás</t>
  </si>
  <si>
    <t>043 610 Egyéb energiaipar igazgatása és támogatása</t>
  </si>
  <si>
    <t>044 110 Ásványianyag- (kivéve: szilárd ásványi fűtőanyag) bányászat igazgatása és támogatása</t>
  </si>
  <si>
    <t>Geot energia új kút, hálózatbővítés</t>
  </si>
  <si>
    <t>045 120 Út, autópálya építése</t>
  </si>
  <si>
    <t>Zúzottkő vásárlás, szállítás</t>
  </si>
  <si>
    <t>Egyéb útépítés</t>
  </si>
  <si>
    <t>052 080-1 Szennyvízcsatorna építése, fenntartása, üzemeltetésének kiadásai</t>
  </si>
  <si>
    <t>054 020 Védett természeti területek és természeti értékek bemutatása, megőrzése és fenntartása</t>
  </si>
  <si>
    <t>064 010-1 Közvilágítás kiadása</t>
  </si>
  <si>
    <t>066 020 Város-, községgazdálkodási egyéb szolgáltatások</t>
  </si>
  <si>
    <t>081 030 Sportlétesítmények, edzőtáborok működtetése és fejlesztése</t>
  </si>
  <si>
    <t>081 061 Szabadidős park, fürdő és strandszolgáltatás</t>
  </si>
  <si>
    <t>092 120 Köznevelési intézmény 5-8. évfolyamán tanulók nevelésével, oktatásával összefüggő működtetési feladatok</t>
  </si>
  <si>
    <t>104 030 Gyermekek napközbeni ellátása</t>
  </si>
  <si>
    <t>Veresegyház Város Önkormányzat Tervezett  beruházások összesen</t>
  </si>
  <si>
    <t>Változás</t>
  </si>
  <si>
    <t>KÖTELEZŐ</t>
  </si>
  <si>
    <t>Nettó</t>
  </si>
  <si>
    <t>Áfa</t>
  </si>
  <si>
    <t>082 064 Múzeumi közművelődési, közönségkapcsolati tevékenység</t>
  </si>
  <si>
    <t>082 091 Közművelődés – közösségi és társadalmi részvétel fejlesztése</t>
  </si>
  <si>
    <t>091 140 Óvodai nevelés, ellátás működtetési feladatai</t>
  </si>
  <si>
    <t>Porció Kft: Lévai utcai óvoda gázkazán és segédberendzések cseréje</t>
  </si>
  <si>
    <t>Veresegyház Város Önkormányzat Tervezett felújítások összesen:</t>
  </si>
  <si>
    <t>felvétel ideje</t>
  </si>
  <si>
    <t>kölcsönadó</t>
  </si>
  <si>
    <t>felvett (nyitó)            hitel-kölcsön   összege</t>
  </si>
  <si>
    <t>kamat</t>
  </si>
  <si>
    <t>visszafizetés  várható ideje</t>
  </si>
  <si>
    <t>(részlet)               visszafizetés                        napja</t>
  </si>
  <si>
    <t>hitel-kölcsön állománya   Ft</t>
  </si>
  <si>
    <t>TRAVILL</t>
  </si>
  <si>
    <t>Társulásnak és költségvetési szervének felhalmozási célú támogatás- DMRV fejlesztési hányad</t>
  </si>
  <si>
    <t>Központi költségvetési szervnek felhalmozási célú támogatás- Misszió ultrahangos készülék</t>
  </si>
  <si>
    <t>Társulásnak és költségvetési szervének felhalmozási célú támogatás- Esély pályázat (hajléktalan ellátó)</t>
  </si>
  <si>
    <t>Bevétel</t>
  </si>
  <si>
    <t>GAMESZ (Téli közfoglalkoztatás)</t>
  </si>
  <si>
    <t>Befizetés a hévízkút beruházási hitel törlesztésére -GAMESZ</t>
  </si>
  <si>
    <t>GAZDASÁGI MŰSZAKI ELLÁTÓ SZERVEZET</t>
  </si>
  <si>
    <t>IDŐSEK OTTHONA</t>
  </si>
  <si>
    <t>KÉZ A KÉZBEN ÓVODA</t>
  </si>
  <si>
    <t>MESELIGET BÖLCSŐDE</t>
  </si>
  <si>
    <t>KÖLCSEY FERENC KÖNYVTÁR</t>
  </si>
  <si>
    <t>VÁCI MIHÁLY MŰVELŐDÉSI HÁZ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</si>
  <si>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</si>
  <si>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</si>
  <si>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</si>
  <si>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</si>
  <si>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</si>
  <si>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</si>
  <si>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</si>
  <si>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</si>
  <si>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</si>
  <si>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</si>
  <si>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</si>
  <si>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</si>
  <si>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</si>
  <si>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</si>
  <si>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</si>
  <si>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</si>
  <si>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</si>
  <si>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</si>
  <si>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</si>
  <si>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</si>
  <si>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</si>
  <si>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</si>
  <si>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</si>
  <si>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</si>
  <si>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Óvodai, iskolai, bölcsődei étkezés térítési díjának támogatása</t>
  </si>
  <si>
    <t>Ella Imréné Veresegyház és Vidéke Takarékszöv. (lejárat 2014.05.20.)</t>
  </si>
  <si>
    <t>Hitel felvételéből eredő aktuális tőketartozás (kötvény, Takarék, OTP, UniCredit)</t>
  </si>
  <si>
    <t xml:space="preserve">1. Fabriczius József Általános Iskola emelet építés </t>
  </si>
  <si>
    <t>OTP folyószámla hitel</t>
  </si>
  <si>
    <t>UNICREDIT fejlesztési hitel és kamata (01.hó)</t>
  </si>
  <si>
    <t>Sberbank (Volksbank) kötvény és kamat (01.hó)</t>
  </si>
  <si>
    <t>Általános tartalék</t>
  </si>
  <si>
    <t>Kéri József</t>
  </si>
  <si>
    <t>092 260 Gimnázium és szakképző iskola tanulóinak közismereti és szakmai elméleti oktatásával összefüggő működtetési feladatok</t>
  </si>
  <si>
    <t xml:space="preserve">Hosszabb időtartamú közfogalkoztatás </t>
  </si>
  <si>
    <t>Start munka program-téli közfoglalkoztatás</t>
  </si>
  <si>
    <t>Könyvtári állomány gyarapítása, nyilvántartása</t>
  </si>
  <si>
    <t>Közművelődés-közösségi és társadalmi részvétel fejlesztése</t>
  </si>
  <si>
    <t>h) helyi adópótlék, adóbírság</t>
  </si>
  <si>
    <t>Saját bevétel 50%-a</t>
  </si>
  <si>
    <t>Kötvény</t>
  </si>
  <si>
    <t>Kibocsátás</t>
  </si>
  <si>
    <t xml:space="preserve">Beváltás </t>
  </si>
  <si>
    <t xml:space="preserve">B114. Települési önkormányzatok kulturális feladatainak támogatása </t>
  </si>
  <si>
    <t>Települési önkormányzatok kulturális feladatinak támogatása</t>
  </si>
  <si>
    <t>B111. Helyi önkormányzatok működésének általános támogatása</t>
  </si>
  <si>
    <t>Helyi önkormányzatok működésének általános támogatása</t>
  </si>
  <si>
    <t xml:space="preserve">10.2. melléklet </t>
  </si>
  <si>
    <t>Óvoda pedagógusok és segítők bértámogatása</t>
  </si>
  <si>
    <t>Óvoda működési támogatása</t>
  </si>
  <si>
    <t xml:space="preserve">10.3. melléklet </t>
  </si>
  <si>
    <t>B113. Települési önkormányzatok szociális, gyermekjóléti és gyermekétkeztetési feladatainak támogatása</t>
  </si>
  <si>
    <t>Kistérségi feladatok támogatása (családsegítés, szociális étkezés, gyermekjóléti szolgálat)</t>
  </si>
  <si>
    <t>Gyermekétkeztetés támogatása</t>
  </si>
  <si>
    <t>Hozzájárulás szociális ellátásokhoz</t>
  </si>
  <si>
    <t xml:space="preserve"> Ezer Ft-ban </t>
  </si>
  <si>
    <t xml:space="preserve">B112. Települési önkormányzatok egyes köznevelési támogatása </t>
  </si>
  <si>
    <t>Bölcsődei ellátás támogatása</t>
  </si>
  <si>
    <t>Szociális feladatok ellátás (Idősek Otthona) támogatása</t>
  </si>
  <si>
    <t>Termálfürdő építés ( kivitelezési tervek, egyéb kiadások)</t>
  </si>
  <si>
    <t>082 080 Növény és állatkertek működtetése és megőrzése</t>
  </si>
  <si>
    <t>1,200 mil új fejlesztési hitel és kamata</t>
  </si>
  <si>
    <t>átadás ideje</t>
  </si>
  <si>
    <t>kölcsönvevő</t>
  </si>
  <si>
    <t>adott (nyitó)            hitel-kölcsön   összege</t>
  </si>
  <si>
    <t>megjegyzés</t>
  </si>
  <si>
    <t>hitel-kölcsön állománya          Ft-ban</t>
  </si>
  <si>
    <t>2009-2012</t>
  </si>
  <si>
    <t>tagi kölcsön</t>
  </si>
  <si>
    <t>2007.</t>
  </si>
  <si>
    <t>Kollcsiter Zoltán</t>
  </si>
  <si>
    <t>kezességvállalás</t>
  </si>
  <si>
    <t>Takarékszövetekezet</t>
  </si>
  <si>
    <t>háztartás</t>
  </si>
  <si>
    <t>Polgár Mónika</t>
  </si>
  <si>
    <t>Juhász László</t>
  </si>
  <si>
    <t>kölcsön</t>
  </si>
  <si>
    <t>2008-2012</t>
  </si>
  <si>
    <t>Református Egyház</t>
  </si>
  <si>
    <t>non profit</t>
  </si>
  <si>
    <t xml:space="preserve">Kőrösik Bt </t>
  </si>
  <si>
    <t>Holl András</t>
  </si>
  <si>
    <t>Takaréskszövetkezet</t>
  </si>
  <si>
    <t>telekvétel miatt</t>
  </si>
  <si>
    <t>Novusz Immo</t>
  </si>
  <si>
    <t>Gábor Cs</t>
  </si>
  <si>
    <t>TIGÁZ-DSO</t>
  </si>
  <si>
    <t>fejlesztési kölcsön éven túli</t>
  </si>
  <si>
    <t>Százszorszép u</t>
  </si>
  <si>
    <t>2013.06.30   2015.06.30</t>
  </si>
  <si>
    <t>FEJLESZTÉSI KÖLCSÖN</t>
  </si>
  <si>
    <t>Dencsi Attila</t>
  </si>
  <si>
    <t>HAJDU Kft</t>
  </si>
  <si>
    <t>meg nem valósult telekvásár</t>
  </si>
  <si>
    <t>2. Utak építése</t>
  </si>
  <si>
    <t>3. Utak építése: körforgalomhoz telek vásárlása</t>
  </si>
  <si>
    <t>4. Szennyvíztisztító telep: tározó tó építése</t>
  </si>
  <si>
    <t>5. Új termálkút fúrása (megújuló energia)</t>
  </si>
  <si>
    <t>azon fejlesztési célokról, amelyek megvalósításához a Magyarország gazdasági stabilitásáról szóló 2011. évi CXCIV. törvény 3. § (1) szerinti adósságot keletkeztető ügylet megkötése válik vagy válhat szükségessé, az adósságot keletkeztető ügyletek várható összegével együtt</t>
  </si>
  <si>
    <t>Összes fejlesztés</t>
  </si>
  <si>
    <t>Eredeti előirányzat</t>
  </si>
  <si>
    <t xml:space="preserve">              </t>
  </si>
  <si>
    <t xml:space="preserve">  Ezer Ft-ban </t>
  </si>
  <si>
    <t xml:space="preserve">    </t>
  </si>
  <si>
    <t xml:space="preserve"> 10.4. melléklet</t>
  </si>
  <si>
    <t>EREDETI ELŐIRÁNYZAT</t>
  </si>
  <si>
    <t>2014. év EREDETI ELŐIRÁNYZAT</t>
  </si>
  <si>
    <t>Közvetett támogatás összege EREDETI ELŐIRÁNYZAT</t>
  </si>
  <si>
    <t>2014 EREDETI ELŐIRÁNYZAT</t>
  </si>
  <si>
    <t xml:space="preserve">10.6. melléklet </t>
  </si>
  <si>
    <t xml:space="preserve">      10.11. melléklet</t>
  </si>
  <si>
    <t>Ágazati pótlék</t>
  </si>
  <si>
    <t>Bérkompenzálás</t>
  </si>
  <si>
    <t>Adósságkonszolidáció (támogatott hitel visszafizetés kamattal)</t>
  </si>
  <si>
    <t>Agrártermelési támogatás</t>
  </si>
  <si>
    <t>i) egyéb közhatalmi bevétel</t>
  </si>
  <si>
    <t>j) egyéb bírság</t>
  </si>
  <si>
    <t>Könyvtár érdekeltség növelő támogatás</t>
  </si>
  <si>
    <t>Adósságkonszolidáció (hitel kamattal)</t>
  </si>
  <si>
    <t xml:space="preserve">A fennálló összegből tárgyévben esedékes tőketartozás Eredeti előirányzat </t>
  </si>
  <si>
    <t>Tárgyévi saját bevételek összege  Eredeti előirányzat</t>
  </si>
  <si>
    <t>DMSOne iktató rendszer rendszerkövetési díj</t>
  </si>
  <si>
    <t>B116. Helyi önkormányzatok kiegészítő támogatásai</t>
  </si>
  <si>
    <t>E útdíj</t>
  </si>
  <si>
    <t>Gyermekszegénység ell. Program nyári gyermek étkeztetés</t>
  </si>
  <si>
    <t>Gyermekvédelmi ágazati pótlék</t>
  </si>
  <si>
    <t>Földalapú támogatás</t>
  </si>
  <si>
    <t>Magyarország szeretlek</t>
  </si>
  <si>
    <t>Országgyűlési, EU, önkormányzati választásokra kapott támogatás</t>
  </si>
  <si>
    <t>Csatorna közmű bevétel</t>
  </si>
  <si>
    <t>Átmeneti pénzbeli segély - felnőtt, temetési-</t>
  </si>
  <si>
    <t xml:space="preserve"> 2014.évben visszafizetett összeg</t>
  </si>
  <si>
    <t>K&amp;H</t>
  </si>
  <si>
    <t xml:space="preserve">Teljesítés </t>
  </si>
  <si>
    <t>Bevétel halmozott</t>
  </si>
  <si>
    <t>Kiadás halmozott</t>
  </si>
  <si>
    <t>Bevétel havonta</t>
  </si>
  <si>
    <t>Kiadás havonta</t>
  </si>
  <si>
    <t>FKV</t>
  </si>
  <si>
    <t>GORDIUSZ AZONOSÍTÓ</t>
  </si>
  <si>
    <t>ÁFA</t>
  </si>
  <si>
    <t>MEGJ.</t>
  </si>
  <si>
    <t>változás</t>
  </si>
  <si>
    <t>COFOG ÖSSZESEN EREDETI ÖNKÉNT VÁLLALT</t>
  </si>
  <si>
    <t>VÁLTOZÁS</t>
  </si>
  <si>
    <t>COFOG ÖSSZESEN  EREDETI KÖTELEZŐ</t>
  </si>
  <si>
    <t>05/6312</t>
  </si>
  <si>
    <t>KISÉRÉKŰ INF ESZK 001600</t>
  </si>
  <si>
    <t>VÍRUSIRTÓ PORGAMOK BESZERZÉSE</t>
  </si>
  <si>
    <t>Z14/325</t>
  </si>
  <si>
    <t>FLASH'4 SZÁMTECH KFT: VÍRUSIRTÓ PORGRAMOK VÁSÁRLÁSA</t>
  </si>
  <si>
    <t>FÓKA SZOFTVER VÁSÁRLÁS</t>
  </si>
  <si>
    <t>WIN7 SZOFTVER VÁSÁRLÁS</t>
  </si>
  <si>
    <t>P14/112 T14/548</t>
  </si>
  <si>
    <t>WIN2013 SZERVER SZOFTVER VÁSÁRLÁS</t>
  </si>
  <si>
    <t xml:space="preserve">SZÁMÍTÁSTECHNIKAI ESZKÖZÖK VÁSÁRLÁSA PL: EGÉR BILLYENTYŰZET </t>
  </si>
  <si>
    <t>PCX KFT. SZÁMÍTÁSTECHNIKAI ESZKÖZÖK (SWITCH, KÁBEL)</t>
  </si>
  <si>
    <t>Z14/212</t>
  </si>
  <si>
    <t>PCX KFT: PAINT DRIVE,SWITCH,USB KÁBEL,SZÁMÍTÓGÉPHÁZ VÁSÁRLÁS</t>
  </si>
  <si>
    <t>Z14/269</t>
  </si>
  <si>
    <t>WOLF INFORMATIKA KFT:PAINTDRIVE,EGÉR,TÁP,KÁBEL,ROUTER VÁSÁRLÁS</t>
  </si>
  <si>
    <t>Z14/286</t>
  </si>
  <si>
    <t>IPON COMPUTER KFT 10 DB SZÁMÍTÓGÉP VÁSÁRLÁS ALKATRÉSZEKBŐL</t>
  </si>
  <si>
    <t>Z14/376</t>
  </si>
  <si>
    <t>IPON COMPUTER KFT: 6DB MONITOR VÁSÁRLÁSA</t>
  </si>
  <si>
    <t>Z14/490</t>
  </si>
  <si>
    <t>PCX KFT: 2DB KÜLSŐ DVD ÍRÓ VÁSÁRLÁSA</t>
  </si>
  <si>
    <t>MEMÓRIA, HÁTTÉRTÁR VÁSÁRLÁS</t>
  </si>
  <si>
    <t>Z14/287</t>
  </si>
  <si>
    <t>PCX Kft: MEREVLEMEZ ÉS MEGHAJTÓ VÁSÁRLÁS</t>
  </si>
  <si>
    <t>KISÉRTÉKŰ EGYÉB GÉP BERENDZEÉS 001601</t>
  </si>
  <si>
    <t xml:space="preserve">KISÉRTÉKŰ EGYÉB GÉP, BERENDEZÉS ÉS FELSZERELÉS BESZERZÉS PL.: SZÁMOLÓGÉP, KÁVÉFŐZŐ, LAMINÁLÓ, KÓDLEOLVASÓ </t>
  </si>
  <si>
    <t>05/6214</t>
  </si>
  <si>
    <t>REF.TEMETŐ KERÍTÉS 003600</t>
  </si>
  <si>
    <t>REFORMÁTUS TEMETŐ KERÍTÉS ÉPÍTÉS</t>
  </si>
  <si>
    <t>Z14/402</t>
  </si>
  <si>
    <t>Z13/663</t>
  </si>
  <si>
    <t xml:space="preserve">REGIOPLAN 71 KFT: REFOMÁTUS TEMETŐ KERÍTÉS KIVITELEZÉS TERVEZŐI MŰVEZETÉSE </t>
  </si>
  <si>
    <t>KATOLIKUS TEMETŐ KERÍTÉS 003601</t>
  </si>
  <si>
    <t>KATOLIKUS TEMETŐ KERÍTÉS ÉPÍTÉS</t>
  </si>
  <si>
    <t>Z14/473</t>
  </si>
  <si>
    <t>DOBOS ÉS IVÁCSON KFT:KATOLIKUS TEMETŐ RÉGI KERÍTÉS BONTÁS,ÚJ KERÍTÉS ÉPÍTÉSE</t>
  </si>
  <si>
    <t>05/6211</t>
  </si>
  <si>
    <t>Z12/676</t>
  </si>
  <si>
    <t>TAM</t>
  </si>
  <si>
    <t>TSZ TANYA FÖLD 004600</t>
  </si>
  <si>
    <t>Z12/677</t>
  </si>
  <si>
    <t>Z12/678</t>
  </si>
  <si>
    <t>Z12/679</t>
  </si>
  <si>
    <t>Z12/680</t>
  </si>
  <si>
    <t>Z12/681</t>
  </si>
  <si>
    <t>SZÁNTÓFÖLD BESZERZÉS 004600</t>
  </si>
  <si>
    <t>Z14/22</t>
  </si>
  <si>
    <t>BAKÓ BÉLÁNÉ:VHÁZ,065/63HRSZ 886NM GYÜMÖLCSÖS VÉTELÁR</t>
  </si>
  <si>
    <t>Z14/23</t>
  </si>
  <si>
    <t>BARSI JÁNOS:VHÁZ,052/19,059:/28HRSZ SZÁNTÓ VÉTELÁR</t>
  </si>
  <si>
    <t>Z14/24</t>
  </si>
  <si>
    <t>BARSI ISTVÁN:VHÁZ,052/18,59/28HRSZ SZÁNTÓ VÉTELÁR</t>
  </si>
  <si>
    <t>Z14/271</t>
  </si>
  <si>
    <t>HIBÓ JÓZSEF:043/6HRSZ 7348NM SZÁNTÓ VÉTELÁR</t>
  </si>
  <si>
    <t>Z14/272</t>
  </si>
  <si>
    <t>DARABOS ANDRÁS:043/9HRSZ 301NM SZÁNTÓ VÉTELÁR</t>
  </si>
  <si>
    <t>Z14/273</t>
  </si>
  <si>
    <t>BALOGH JÓZSEF:014/5HRSZ 724NM SZÁNTÓ VÉTELÁR</t>
  </si>
  <si>
    <t>Z14/274</t>
  </si>
  <si>
    <t>BALOGH JÓZSEF: 065/6HRSZ 750NM SZÁNTÓ VÉTELÁR</t>
  </si>
  <si>
    <t>Z14/341</t>
  </si>
  <si>
    <t>KLEMENT JÁNOS: ŐRBOTTYÁN KÜLTERÜLET 096/5HRSZ 1HA 9999NM SZÁNTÓ VÉTELÁR</t>
  </si>
  <si>
    <t>Z14/342</t>
  </si>
  <si>
    <t>MIKLECZ PÁLNÉ: ŐRBOTTYÁN KÜLTERÜLET 0110/3HRSZ 3HA 7191NM SZÁNTÓ VÉTELÁR</t>
  </si>
  <si>
    <t>Z14/343</t>
  </si>
  <si>
    <t>MIKLECZ PÁLNÉ: ŐRBOTTYÁN KÜLTERÜLET 01110/4HRSZ 3943NM SZÁNTÓ VÉTELÁR</t>
  </si>
  <si>
    <t>Z14/344</t>
  </si>
  <si>
    <t>MIKLECZ PÁLNÉ: VERESEGYHÁZ KÜLTERÜLET 078/9HRSZ 3695NM SZÁNTÓ VÉTELÁR</t>
  </si>
  <si>
    <t>Z14/345</t>
  </si>
  <si>
    <t>MIKLECZ PÁL: VERESEGYHÁZ KÜLTERÜLET 078/8HRSZ 3694NM SZÁNTÓ VÉTELÁR</t>
  </si>
  <si>
    <t>Z14/346</t>
  </si>
  <si>
    <t>MIKLCEZ PÁL,MIKLECZ PÁLNÉ,ÖZV.MIKLECZ PÁLNÉ,ÖZV. GOMBAI PÁLNÉ: ŐRBOTTYÁN KÜLTERÜLET 0110/15HRSZ 1170NM SZÁNTÓ VÉTELÁR</t>
  </si>
  <si>
    <t>Z14/347</t>
  </si>
  <si>
    <t>JAKAB SÁNDORNÉ: VERESEGYHÁZ KÜLTERÜLET 078/7HRSZ SZÁNTÓ 3696NM VÉTELÁR</t>
  </si>
  <si>
    <t>Z14/370</t>
  </si>
  <si>
    <t>OSWALD GYÖRGY: 014/26HRSZ 770NM SZÁNTÓ VÉTELÁR</t>
  </si>
  <si>
    <t>Z14/371</t>
  </si>
  <si>
    <t>TRÉFÁS ISTVÁNNÉ 065/34HRSZ 386NM SZÁNTÓ VÉTELÁR</t>
  </si>
  <si>
    <t>Z14/373</t>
  </si>
  <si>
    <t>MIKLECZ PÁLNÉ: 059/28HRSZ 58 NM SZÁNTÓ VÉTELÁR</t>
  </si>
  <si>
    <t>Z14/374</t>
  </si>
  <si>
    <t>CZENE SÁNDOR: 043/24HRSZ 87NM SZÁNTÓ VÉTELÁR</t>
  </si>
  <si>
    <t>Z14/375</t>
  </si>
  <si>
    <t>KNAPP KÁROLYNÉ: 043/24HRSZ 87NM SZÁNTÓ VÉTELÁR</t>
  </si>
  <si>
    <t>Z14/449-Z14/456</t>
  </si>
  <si>
    <t>OLÁH LÁSZLÓNÉ, MÉSZÁROS KÁRLOLYNÉ, HAJDI FERENC, HAJDI FERENCNÉ, PILLMANN HENRIETT, BAGYÁNSZKIYNÉ FEKETE KATINKA, HAJDI GYÖRGY, SZLOVÁK LAJOSNÉ: VERESEGYHÁZ, TOMPA M. U. 2. (291HRSZ)1688NM INGATLAN VÉTELÁR</t>
  </si>
  <si>
    <t>Z14/466</t>
  </si>
  <si>
    <t>CBA BALDAUF INVEST KFT: 8833/4HRSZ 235NM INGATLAN VÉTELÁR</t>
  </si>
  <si>
    <t>Z14/482</t>
  </si>
  <si>
    <t>KRIZSÁN MIHÁLY-KRISZÁN MIHÁLYNÉ: VERESEGYHÁZ 078/17HRSZ 5096NM SZÁNTÓ VÉTELÁR</t>
  </si>
  <si>
    <t>Z14/483</t>
  </si>
  <si>
    <t>KRIZSÁN MIHÁLYNÉ: VERESEGYHÁZ 078/17HRSZ 2548NM SZÁNTÓ VÉTELÁR</t>
  </si>
  <si>
    <t>Z14/484</t>
  </si>
  <si>
    <t>RIBAI BÉLÁNÉ: VERESEGYHÁZ 059/28HRSZ 231NM SZÁNTÓ VÉTELÁR</t>
  </si>
  <si>
    <t>Z14/485</t>
  </si>
  <si>
    <t>TÓTH FERENC: VERESEGYHÁZ 043/24HRSZ 81NM SZÁNTÓ VÉTELÁR</t>
  </si>
  <si>
    <t>Z14/486</t>
  </si>
  <si>
    <t>RINYU ISTVÁNNÉ: VERESEGYHÁZ 043/24HRSZ 81NM SZÁNTÓ VÉTELÁR</t>
  </si>
  <si>
    <t>Z14/487</t>
  </si>
  <si>
    <t>MÁCSIK BÉLA: VERESGYHÁZ 059/28HRSZ 231NM SZÁNTÓ VÉTELÁR</t>
  </si>
  <si>
    <t>Z14/488</t>
  </si>
  <si>
    <t>TÁRNOK LÁSZLÓNÉ: VERESEGYHÁZ 043/24HRSZ 81NM SZÁNTÓ VÉTELÁR</t>
  </si>
  <si>
    <t>TELEK BESZERZÉS 004601</t>
  </si>
  <si>
    <t>Z14/304</t>
  </si>
  <si>
    <t>Z14/327</t>
  </si>
  <si>
    <t>Z14/348</t>
  </si>
  <si>
    <t>TÓTH IMRE,ISTVÁN,LÁSZLÓ,PETRIK JÓZSEFNÉ: VERESEGYHÁZ FŐ ÚT 42. INGATLAN VÉTELÁR</t>
  </si>
  <si>
    <t>Z14/362</t>
  </si>
  <si>
    <t>ELLA JÓZSEF,ELLA GYÖRGY,KISS GÁBOR:  VERESEGYHÁZ,MOGYORÓDI U. 1. INGATLAN VÉTELÁR (3540/1HRSZ)</t>
  </si>
  <si>
    <t>Z14/363</t>
  </si>
  <si>
    <t>ELLA JÓZSEF,ELLA GYÖRGY,KISS GÁBOR,POTÓ FERENC,WISNOVSZKYNÉ HAJDI MÁRTA ETTLKA: VERESEGYHÁZ,MOGYORÓDI U. 3. INGALTAN VÉTELÁR (3539HRSZ)</t>
  </si>
  <si>
    <t>Z14/364</t>
  </si>
  <si>
    <t>SZTRAKOS GYÖRGY JÓZSEFNÉ,SZTRAKOS GYULA: VERESEGYHÁZ REVETEK U. 72. INGATLAN VÉTELÁR (6086/1HRSZ)</t>
  </si>
  <si>
    <t>Z14/522</t>
  </si>
  <si>
    <t>VERESEGYHÁZ INGATLANFEJLESZTÉSI  ÉS BERUHÁZÓ KFT: 8983HRSZ 301NM INGATLAN VÉTELÁR</t>
  </si>
  <si>
    <t>Z14/528</t>
  </si>
  <si>
    <t>VÁNYI ISTVÁNNÉ, PETRIK ISTVÁN, PETRIK JÓZSEF: VERESEGYHÁZ 734/HRSZ 1512NM INGATLAN (75NM LAKÁS) VÉTELÁR</t>
  </si>
  <si>
    <t>Z14/21</t>
  </si>
  <si>
    <t>Z14/61</t>
  </si>
  <si>
    <t>Z14/123</t>
  </si>
  <si>
    <t>Z13/695</t>
  </si>
  <si>
    <t>BÉRLAKÁS VÁSÁRLÁS 004602</t>
  </si>
  <si>
    <t>Z13/696</t>
  </si>
  <si>
    <t>Z14/208</t>
  </si>
  <si>
    <t>TIGÁZ DSO KFT: VERESEGYHÁZ 5785/144,147 CSATLAKOZÁSI DÍJ</t>
  </si>
  <si>
    <t>Z14/227</t>
  </si>
  <si>
    <t>FA</t>
  </si>
  <si>
    <t>NO-LA BT: VÍZVEZETÉK ÉPÍTÉS,VÍZÓRAAKNA BEÁLLÁS ELKÉSZÍTÉS</t>
  </si>
  <si>
    <t>Z14/289</t>
  </si>
  <si>
    <t>Z14/422</t>
  </si>
  <si>
    <t>SZŰR ÉS TÁRSA BT: VÍZJOGI LÉTESÍTÉSI ENGDEÉLY KERTÉSZ U. IVÓVÍZ ELLÁTÁS, SZENNYVÍZ ELVEZETÉS</t>
  </si>
  <si>
    <t>Z14/477</t>
  </si>
  <si>
    <t>Z14/590</t>
  </si>
  <si>
    <t>DMRV ZRT: SZENT GYÖRGYI ALBERT U.-I INGATLANOK ÉLŐREKÖTÉSE</t>
  </si>
  <si>
    <t>Z13/788</t>
  </si>
  <si>
    <t>Z14/406</t>
  </si>
  <si>
    <t xml:space="preserve"> GÉPJÁRMŰ BESZERZÉS 004604</t>
  </si>
  <si>
    <t>AUTÓ SZENTMIHÁLY KFT: SUZUKI IGNIS 1.3 GS VÁSÁRLÁSA</t>
  </si>
  <si>
    <t>ÁROP PROJEKT 005600</t>
  </si>
  <si>
    <t>ÁSP KÖZP./KMOP INF.FEJ.PROJEKT 005601</t>
  </si>
  <si>
    <t>ARADI VÉRTANUK SZOBORPARK 006600</t>
  </si>
  <si>
    <t>ERDŐTELEPÍTÉS 010600</t>
  </si>
  <si>
    <t>Z13/730</t>
  </si>
  <si>
    <t>EGYÉB TERMÁL REND.KIÉP. 011600</t>
  </si>
  <si>
    <t>Z13/732</t>
  </si>
  <si>
    <t>Z13/733</t>
  </si>
  <si>
    <t>Z14/112</t>
  </si>
  <si>
    <t>PORCIÓ KFT: CSALÁDSEGÍTŐ TERMÁLVÍZZEL VALÓ ELLÁTÁSÁNAK KIÉPÍTÉSE</t>
  </si>
  <si>
    <t>Z14/337</t>
  </si>
  <si>
    <t>PORCIÓ KFT: KERTÉSZ-SZENTGYÖRGYI U.-I TÁRSASHÁZAK TERMÁLVÍZ ELLÁTÁSA</t>
  </si>
  <si>
    <t>Z13/511</t>
  </si>
  <si>
    <t>GEOTERM.TERMÁLKÚT 012600</t>
  </si>
  <si>
    <t>25216 14 UTALVÁNYLAP</t>
  </si>
  <si>
    <t>KTVF: 31212-4/2013 VHÁZ 048/12 IV. SZÁMÚ TERMÁLKÚT VÍZJOGI ENG.</t>
  </si>
  <si>
    <t>25217 14 UTALVÁNYLAP</t>
  </si>
  <si>
    <t>KTVF:31212-4/2013 VHÁZ 048/12 IV. SZÁMÚ TERMÁLKÚT IG. SZ. DÍJ</t>
  </si>
  <si>
    <t>PORCIÓ KFT: TERMÁLVÍZ IGÉNY FELÉMÉRÉS,KÉRELMEK,TANULMÁNY</t>
  </si>
  <si>
    <t>Z14/357</t>
  </si>
  <si>
    <t>CSÍKY ÉS TÁRSA KKT: IV.SZ.TERMÁLKÚT FÚRÁSÁVAL KAPCS.KÖZBESZERZÉDSI TANÁCSADÁS</t>
  </si>
  <si>
    <t>Z14/368</t>
  </si>
  <si>
    <t>VIKUV ZRT.: IV.TERMÁLKÚT FÚRÁSÁNAK KIVITELEZÉSE</t>
  </si>
  <si>
    <t>Z14/474</t>
  </si>
  <si>
    <t>CSÍKY ÉS TÁRSA KKT: IV. SZ. TERMÁLKÚT FÚRÁS MŰSZAKI ELLENŐRZÉSE</t>
  </si>
  <si>
    <t>UTAK</t>
  </si>
  <si>
    <t>Z14/39</t>
  </si>
  <si>
    <t>PROTOTYP-7690 KFT: ZÚZOTTKŐ VÁSÁRLÁS, SZÁLLÍTÁS</t>
  </si>
  <si>
    <t>Z14/40</t>
  </si>
  <si>
    <t>ÉSZAK-TÉRKŐ KFT: ZÚZOTTKŐ VÁSÁRLÁS, SZÁLLÍTÁS</t>
  </si>
  <si>
    <t>Z14/92</t>
  </si>
  <si>
    <t>Z14/120</t>
  </si>
  <si>
    <t>Z14/181</t>
  </si>
  <si>
    <t>ÉSZAK TÉRKŐ: ZÚZOTTKŐ VÁSÁRLÁS, SZÁLLÍTÁS</t>
  </si>
  <si>
    <t>Z14/221</t>
  </si>
  <si>
    <t>Z14/294</t>
  </si>
  <si>
    <t>Z14/335</t>
  </si>
  <si>
    <t>Z14/340</t>
  </si>
  <si>
    <t>Z14/378</t>
  </si>
  <si>
    <t>Z14/379</t>
  </si>
  <si>
    <t>Z14/533</t>
  </si>
  <si>
    <t>Z14/534</t>
  </si>
  <si>
    <t>Z14/588</t>
  </si>
  <si>
    <t>Z13/613</t>
  </si>
  <si>
    <t>Z13/614</t>
  </si>
  <si>
    <t>Z13/615</t>
  </si>
  <si>
    <t>Z13/715</t>
  </si>
  <si>
    <t>Z13/716</t>
  </si>
  <si>
    <t>Z13/744</t>
  </si>
  <si>
    <t>Z13/745</t>
  </si>
  <si>
    <t>Z13/746</t>
  </si>
  <si>
    <t>Z13/727</t>
  </si>
  <si>
    <t>Z13/829</t>
  </si>
  <si>
    <t>Z13/830</t>
  </si>
  <si>
    <t>Z13/831</t>
  </si>
  <si>
    <t>Z13/832</t>
  </si>
  <si>
    <t>Z14/16</t>
  </si>
  <si>
    <t>Z14/20</t>
  </si>
  <si>
    <t>UTAK BP-I-CSOMÁDI KÖRFORGALOM</t>
  </si>
  <si>
    <t>Z13/247</t>
  </si>
  <si>
    <t>ELMŰ HÁLÓZATI KFT: 0,4KV-OS SZABADVEZETÉK BONTÁS KÖRFORG.ÉP.</t>
  </si>
  <si>
    <t>Z14/299</t>
  </si>
  <si>
    <t>STRABAG ÁLTALÁNOS ÉPÍTŐ KFT: KÖRFORGALOM ÉPÍTÉSE BUDAPESTI-CSOMÁDI ÚT</t>
  </si>
  <si>
    <t>Z14/301</t>
  </si>
  <si>
    <t>B ÉS M ÉPÍTŐ BT: KÖRFORGALOM ÉPÍTÉSE BUDAPESTI-CSOMÁDI ÚT</t>
  </si>
  <si>
    <t>Z14/82</t>
  </si>
  <si>
    <t>AHK</t>
  </si>
  <si>
    <t>KTVF:IG.SZOLG.DÍJ HÍRKÖZL.HÁL.KIVÁLTÁS BP-CSOMÁDI KÖRFORG.</t>
  </si>
  <si>
    <t>Z14/81</t>
  </si>
  <si>
    <t>NMHH: LETÉTI DÍJ HÍRKÖZL.HÁL.KIVÁLTÁS BP-CSOMÁDI KÖRFORGALOM</t>
  </si>
  <si>
    <t>Z14/334</t>
  </si>
  <si>
    <t>PARCELLA GM KFT: BPI U-CSOMÁDI U KÖRF. ÉPÍTÉSNÉL CSAT. CSŐMAGASSÁG MÉRÉS</t>
  </si>
  <si>
    <t>Z14/336</t>
  </si>
  <si>
    <t>INVITEL ZRT: CSOMÁDI-BP ÚT KÖRFORG. ÉPÍTÉSNÉL KÁBESZAKÍTÁS HELYEREÁLLÍTÁS</t>
  </si>
  <si>
    <t>Z14/355</t>
  </si>
  <si>
    <t>MAGYAR KÖZÚT NONPROFIT ZRT: MŰSZAKI ELLENŐRZÉS BUDAPESTI-CSOMÁDI ÚT KÖRFORGALOM</t>
  </si>
  <si>
    <t>Z14/385</t>
  </si>
  <si>
    <t>FL-GÁZ TERVEZŐ ÉS SZOLGÁLTATÓ BT: GÁZKÖZMŰ KIVÁLT.,CSAPCSAT ELVZETÉS MŰSZAKIELLENŐRZÉS KÖRFORG</t>
  </si>
  <si>
    <t>Z14/394</t>
  </si>
  <si>
    <t>SKS TERV KFT: TERVEZŐI MŰVEZETÉS BP-I ÚT KÖNYVES K. KÖRFORGALOM ÉPÍTÉSNÉL</t>
  </si>
  <si>
    <t>Z14/523</t>
  </si>
  <si>
    <t>UTAK BP-I-KÖNYVES K. KÖRFORGALOM</t>
  </si>
  <si>
    <t>PENTA KFT: BUDAPESTI ÚT - KÖNYVES KÁLMÁN UTCAI KÖRFORGALOM KIVITELEZÉSE</t>
  </si>
  <si>
    <t>Z14/57</t>
  </si>
  <si>
    <t>B ÉS M ÉPÍTŐ BT: REPKÉNY U. ÚTALAP ÉPÍTÉS</t>
  </si>
  <si>
    <t>Z14/105</t>
  </si>
  <si>
    <t>BLOGÉK KFT: BÚZAVIRÁG U. ÚTALAP ÉPÍTÉS</t>
  </si>
  <si>
    <t>Z14/169</t>
  </si>
  <si>
    <t>B ÉS M ÉPÍTŐ BT: PARKOLÓ BŐVÍTÉS BÖLCSŐDE U.-BAN</t>
  </si>
  <si>
    <t>Z14/207</t>
  </si>
  <si>
    <t>BLOGÉK KFT: GYÖMBÉR U. ÚTALAP ÉPÍTÉS</t>
  </si>
  <si>
    <t>Z14/210</t>
  </si>
  <si>
    <t>B ÉS M ÉPÍTŐ BT:SZABADSÁG U. JÁRDAÉPÍTÉS</t>
  </si>
  <si>
    <t>Z13/666</t>
  </si>
  <si>
    <t>REA-SZÍ ÚJHÁZAK KFT: JÁRDA ÉPÍTÉS BAROSS U-BAN</t>
  </si>
  <si>
    <t>Z14/217</t>
  </si>
  <si>
    <t>B ÉS M ÉPÍTŐ BT: KERTÉSZ U. ÚTALAP</t>
  </si>
  <si>
    <t>BLOGÉK KFT:SZUROKFŰ U. ÚTALAP ÉPÍTÉS</t>
  </si>
  <si>
    <t>Z14/279</t>
  </si>
  <si>
    <t>MONOVIA BT: ZSÁLYA U. ÚTALAP ÉPÍTÉS</t>
  </si>
  <si>
    <t>Z14/351</t>
  </si>
  <si>
    <t>MONOVIA BT:SOMKÓRÓ U. ÚTALAP ÉPÍTÉS</t>
  </si>
  <si>
    <t>Z14/352</t>
  </si>
  <si>
    <t>MONOVIA BT: FODORMENTA U. ÚTALAP ÉPÍTÉS</t>
  </si>
  <si>
    <t>Z14/353</t>
  </si>
  <si>
    <t>MONOVIA BT: REPCE U. ÚTALAP ÉPÍTÉS</t>
  </si>
  <si>
    <t>Z14/354</t>
  </si>
  <si>
    <t>MONOVIA BT: PIPACS U. ÚTALAP ÉPÍTÉS</t>
  </si>
  <si>
    <t>Z14/356</t>
  </si>
  <si>
    <t>CSÍKY ÉS TÁRSA KKT:KÖZBESZERZÉSI TANÁCSADÁS ZÚZOTTKŐ BESZERZÉSEK KAPCS.</t>
  </si>
  <si>
    <t>Z14/395</t>
  </si>
  <si>
    <t>SWIETELSKY MAGYARORSZÁG KFT: KERTÉSZ-BÖLCSŐDE-GYÖMBÉR U. ASZFALTOZÁS</t>
  </si>
  <si>
    <t>Z14/396</t>
  </si>
  <si>
    <t>SWIETELSKY MAGYARORSZÁG KFT: TAVASZ- ANONYMUSZ U. ASZFALTOZÁS</t>
  </si>
  <si>
    <t>Z14/397</t>
  </si>
  <si>
    <t>SWIETELSKY MAGYARORSZÁG KFT: BÚZAVIRÁG- MAJÁLIS - HÓPEHELY U. ASZFALTOZÁS</t>
  </si>
  <si>
    <t>Z14/430</t>
  </si>
  <si>
    <t>MONOVIA BT: TAVASZ U.  JÁRDAÉPÍTÉS TÁMFALLAL</t>
  </si>
  <si>
    <t>Z14/433</t>
  </si>
  <si>
    <t>MONOVIA BT. TAVASZ U. ÚTALAP ÉPÍTÉS</t>
  </si>
  <si>
    <t>Z14/460</t>
  </si>
  <si>
    <t>BLOGÉK KFT: JÁRDA ÉPÍTÉS CSOKONAI U.-BAN A LABDA U.-IG</t>
  </si>
  <si>
    <t>Z14/461</t>
  </si>
  <si>
    <t>BLOGÉK KFT: CSOKONAI U. ÉS LABDA U. TALÁLKOZÁSÁNÁL ÚTALAP ÉPÍTÉS</t>
  </si>
  <si>
    <t>Z14/470</t>
  </si>
  <si>
    <t>B ÉS M ÉPÍTŐ BT: KINIZSI U. JÁRDAÉPÍTÉS</t>
  </si>
  <si>
    <t>Z14/471</t>
  </si>
  <si>
    <t>B ÉS M ÉPÍTŐ BT: ANDRÁSSY ÚT JÁRDA ÉPÍTÉS</t>
  </si>
  <si>
    <t>Z14/496</t>
  </si>
  <si>
    <t>B ÉS M BT: KINIZSI U. ÉPÍTÉS</t>
  </si>
  <si>
    <t>Z14/498</t>
  </si>
  <si>
    <t>SWIETELSKY MAGYARORSZÁG KFT: PATAK U. ASZFALTOZÁSA</t>
  </si>
  <si>
    <t>Z14/499</t>
  </si>
  <si>
    <t>SWIETELSKY MAGYARORSZÁG KFT: ZSÁLYA-SOMKÓRÓ-REPCE-KINIZSI U. ASZFALTOZÁSA</t>
  </si>
  <si>
    <t>Z14/500</t>
  </si>
  <si>
    <t>SWIETELSKY MAGYARORSZÁG KFT: SZUROKFŰ ÉS CSOKONAI U. ASZFALTOZÁSA</t>
  </si>
  <si>
    <t>Z14/531</t>
  </si>
  <si>
    <t>MONOVIA BT: REPKÉNY U. ÚTALAP ÉPÍTÉS</t>
  </si>
  <si>
    <t>Z14/532</t>
  </si>
  <si>
    <t>MONOVIA BT: JÁCINT U. ÚTALAP ÉPÍTÉS</t>
  </si>
  <si>
    <t>Z14/549</t>
  </si>
  <si>
    <t>MONOVIA BT:  VICZIÁN U. JÁRDA, TAVASZ U. 10. GÉPKOCSIBEÁLLÓ ÁTÉPÍTÉS</t>
  </si>
  <si>
    <t>Z14/550</t>
  </si>
  <si>
    <t>MONOVIA BT:  SZEGFŰ U., TULIPÁN U. ÚTALAP ÉPÍTÉS</t>
  </si>
  <si>
    <t>Z14/551</t>
  </si>
  <si>
    <t>B ÉS M ÉPÍTŐ BT: LÉVAI U. BŐVÍTÉSE 26FM HOSSZBAN</t>
  </si>
  <si>
    <t>Z14/465</t>
  </si>
  <si>
    <t>B ÉS M BT: ANDRÁSSY ÚT  FELÚJÍTÁS</t>
  </si>
  <si>
    <t>Z14/593</t>
  </si>
  <si>
    <t>BLOGÉK KFT: KISGYÖNGYÖS U. ÚTALAP</t>
  </si>
  <si>
    <t>Z14/594</t>
  </si>
  <si>
    <t>BLOGÉK KFT: DÉNÁR U. ÚTALAP</t>
  </si>
  <si>
    <t>Z14/595</t>
  </si>
  <si>
    <t xml:space="preserve">BLOGÉK KFT: DUKÁT U. ÚTALAP </t>
  </si>
  <si>
    <t>Z14/596</t>
  </si>
  <si>
    <t>BLOGÉK KFT: GARAS U. ÚTALAP</t>
  </si>
  <si>
    <t>Z14/597</t>
  </si>
  <si>
    <t>BLOGÉK KFT: TEMPLOM U. ÚTALAP</t>
  </si>
  <si>
    <t>Z12/528</t>
  </si>
  <si>
    <t>UTAK EGYÉB KTGEK</t>
  </si>
  <si>
    <t>Z12/527</t>
  </si>
  <si>
    <t>B14/361</t>
  </si>
  <si>
    <t>NEMZETI KÖZLEKEDÉSI HATÓSÁG: TAVASZ U.FENNMARADÁSI ENG.</t>
  </si>
  <si>
    <t>B14/743</t>
  </si>
  <si>
    <t>NEMZETI KÖZLEKEDÉSI HATÓSÁG: TAVASZ U.FENNMARADÁSI, FORGALOMBAHELYEZÉSI ENGEDÉLY</t>
  </si>
  <si>
    <t>Z14/557</t>
  </si>
  <si>
    <t>SKS TERV KFT: VICZIÁN U. ÚTÉPÍTÉSI,CSAPADÉKVÍZELVEZETÉS TERV</t>
  </si>
  <si>
    <t>Z14/55</t>
  </si>
  <si>
    <t>SZENNYVÍZCSAT. ÉPÍTÉSE 015400</t>
  </si>
  <si>
    <t>BLOGÉK KFT: KERTÉSZ U. SZENNYVÍZCSAT. ÉPÍTÉSE</t>
  </si>
  <si>
    <t>Z12/360</t>
  </si>
  <si>
    <t>ÁLOMHEGYI VÍZTÁROZÓ 016600</t>
  </si>
  <si>
    <t>ELŐIRÁNYZAT CSÖKKENTÉS =&gt; TARTALÉKKERET NÖVELÉSE</t>
  </si>
  <si>
    <t>KÖZÉP-DUNA-VÖLGYI VÍZÜGYI HATÓSÁG: ZÁPORTÁROZÓ IGAZGATÁS SZOLG.DIJ</t>
  </si>
  <si>
    <t>Z10/636</t>
  </si>
  <si>
    <t>VILLANYHÁLÓZAT ÉP. 017600</t>
  </si>
  <si>
    <t>Z13/690 =&gt; Z14/185</t>
  </si>
  <si>
    <t>Z14/467</t>
  </si>
  <si>
    <t>JUKO KFT: FENYVES U. KÖZVILÁGÍTÁSI HÁLÓZAT BŐVÍTÉS</t>
  </si>
  <si>
    <t>Z14/468</t>
  </si>
  <si>
    <t>JUKO KFT: FÁY-KÖLCSEY SAROK, JÁTSZÓTÉR TÉRVILÁGÍTÁS LÉTESÍTÉS</t>
  </si>
  <si>
    <t>Z14/469</t>
  </si>
  <si>
    <t>JUKO KFT: LISZT FERENC U. KÖZVILÁGÍTÁSI HÁLÓZAT BŐVÍTÉS</t>
  </si>
  <si>
    <t>Z14/479</t>
  </si>
  <si>
    <t>JUKO KFT: KERTESI U. KÖZVILÁGÍTÁSI HÁLÓZAT BŐVÍTÉS</t>
  </si>
  <si>
    <t>Z14/565</t>
  </si>
  <si>
    <t>JUKO KFT: ANDRÁSSY ÚT REFORMÁTUS TEMETŐ KÖZVILÁGÍTÁSI HÁLÓZAT BŐVÍTÉSE</t>
  </si>
  <si>
    <t>Z13/778</t>
  </si>
  <si>
    <t>CSAPADÉK CSAT. ÉP. 018600</t>
  </si>
  <si>
    <t>Z14/53</t>
  </si>
  <si>
    <t>BLOGÉK KFT: BÚZAVIRÁG U. CSAPADÉKCSATORNA ÉPÍTÉSE</t>
  </si>
  <si>
    <t>Z14/77</t>
  </si>
  <si>
    <t>PLANTOR KFT: LIGETEK CSAP.CSAT. VÍZJOGI LÉT.ENG.MÓDOSÍTÁS</t>
  </si>
  <si>
    <t>Z14/78</t>
  </si>
  <si>
    <t>PLANTOR KFT: ZÁRT CSATORNA KIVITELI TERV, VÍZJOGI LÉT ENG.</t>
  </si>
  <si>
    <t>Z14/214</t>
  </si>
  <si>
    <t>BLOGÉK KFT: GYÖMBÉR U. CSAPADÉKVÍZCSATORNA ÉPÍTÉS</t>
  </si>
  <si>
    <t>Z14/215</t>
  </si>
  <si>
    <t>BLOGÉK KFT: REVETEK U. CSAPADÉKVÍZCSATORNA ÉPÍTÉS</t>
  </si>
  <si>
    <t>Z14/216</t>
  </si>
  <si>
    <t>B ÉS M ÉPÍTŐ BT: KERTÉSZ U. CSAPADÉKVÍZCSATORNA ÉPÍTÉS</t>
  </si>
  <si>
    <t>Z14/267</t>
  </si>
  <si>
    <t>PLASTFER KFT:ANYAGBESZERZÉS - GYÖMBÉR,REVETEK U. CSAPCSAT</t>
  </si>
  <si>
    <t>Z14/434</t>
  </si>
  <si>
    <t>MONOVIA BT: VICZIÁN U. CSAPADÉKCSATONA ÉPÍTÉS</t>
  </si>
  <si>
    <t>Z14/462</t>
  </si>
  <si>
    <t>BLOGÉK KFT: SZÁZSZORSZÉP U. TALAJVÍZ ELVEZETŐ RENDSZER ÉPÍTÉSE</t>
  </si>
  <si>
    <t>Z14/476</t>
  </si>
  <si>
    <t>MONOVIA BT: MAJÁLIS U. ÁTERESZ ÉPÍTÉS</t>
  </si>
  <si>
    <t>Z14/495</t>
  </si>
  <si>
    <t>B ÉS M BT: KINIZSI U. CSAPADÉKVÍZCSATORNA ÉPÍTÉS</t>
  </si>
  <si>
    <t>Z14/553</t>
  </si>
  <si>
    <t>PENTA KFT: CSAPADÉKVÍZ ELVEZETŐ CSATORNA MEGÉPÍTÉSE CSOMÁDI ÚT BUSZOBÖLNÉL</t>
  </si>
  <si>
    <t>B ÉS M BT: ANDRÁSSY ÚT CSAPADÉKCSATORNA FELÚJÍTÁS</t>
  </si>
  <si>
    <t>BLOGÉK KFT: DÉNÁR U. CSAPADÉKVÍZ CSATORNA ÉPÍTÉS</t>
  </si>
  <si>
    <t>BLOGÉK KFT: TEMPLOM U. CSAPADÉKVÍZCSATORNA ÉPÍTÉS</t>
  </si>
  <si>
    <t>BLOGÉK KFT: KISGYÖNGYÖS U. CSAPADÉKVÍZCSATORNA ÉPÍTÉS</t>
  </si>
  <si>
    <t>BLOGÉK KFT: GARAS U. CSAPADÉKVÍZCSATORNA ÉPÍTÉS</t>
  </si>
  <si>
    <t>Z14/602</t>
  </si>
  <si>
    <t>PLASTFER KFT: ARANYFORINT, TEMPLOM, KISGYÖNGYÖS, GARAS,DÉNÁR,FILLÉR U. CSAPADÉKVÍZCSATORNÁZÁSHOZ SZÜKSÉGES ANYAGOK VÁSÁRLÁSA</t>
  </si>
  <si>
    <t>Z14/440</t>
  </si>
  <si>
    <t>TÉRFIGYELŐ RENDSZER 018602</t>
  </si>
  <si>
    <t>JUKO KFT: TÉRFIGYELŐ RENDSZER ENERGIA ELLÁTÁSA</t>
  </si>
  <si>
    <t>Z14/439</t>
  </si>
  <si>
    <t>FALCON POOL SECURITY KFT:  TÉRFIGYELŐ RENDSZER BŐVÍTÉSE</t>
  </si>
  <si>
    <t>Z14/438</t>
  </si>
  <si>
    <t>Z14/436</t>
  </si>
  <si>
    <t>RENDSZÁM FELISMERŐ RENDSZER 018603</t>
  </si>
  <si>
    <t>Z14/437</t>
  </si>
  <si>
    <t>FALCON POOL SECURITY KFT:  RENDSZÁM FELISMERŐ RENDSZER TELEPÍTÉSE</t>
  </si>
  <si>
    <t>IVACSI MEGÁLLÓ KIHANG. REND. 018601</t>
  </si>
  <si>
    <t>Z13/483</t>
  </si>
  <si>
    <t>VÉDŐKORLÁT SPORTPÁLYÁHOZ 022600</t>
  </si>
  <si>
    <t xml:space="preserve">DOBOS ÉS IVÁCSON 2000 KFT: VÉDŐKORLÁT KÉSZÍTÉSE SPORTPÁLYÁRA </t>
  </si>
  <si>
    <t>SPORTCSARNOK ÉP. 022602</t>
  </si>
  <si>
    <t>SPORTCSARNOK ÉPÍTÉSE</t>
  </si>
  <si>
    <t>Z14/527</t>
  </si>
  <si>
    <t>FÓTI CENTRUM KFT: VERESEGYHÁZ 087/10HRSZ 1HA 5000NM INGATLAN VÉTELÁR</t>
  </si>
  <si>
    <t>LELÁTÓ ÉPÍTÉS 022601</t>
  </si>
  <si>
    <t>SPORTPÁLYA LELÁTÓ ÉPÍTÉSE</t>
  </si>
  <si>
    <t>Böhmer Kft.: Sportpálya területén lelátó fölmunkái</t>
  </si>
  <si>
    <t>Z14/296</t>
  </si>
  <si>
    <t>SPORTPÁLYA ÉPÍTÉS 022603</t>
  </si>
  <si>
    <t>MLSZ: CSOKONAI U. 2/A KISPÁLYA ÉPÍTÉS</t>
  </si>
  <si>
    <t>Z14/328</t>
  </si>
  <si>
    <t>MLSZ: LÉVAI U. KISPÁLYA ÉPÍTÉS</t>
  </si>
  <si>
    <t>Z14/329</t>
  </si>
  <si>
    <t>MLSZ: GYERMEKLIGET U. 32 KISPÁLYA ÉPÍTÉS</t>
  </si>
  <si>
    <t>Z14/405</t>
  </si>
  <si>
    <t>PREVIVE SECURITY KFT: GYERMEKLIGET U. 32. SPORTPÁLYA FÖLDMUNKÁI (PÓTMUNKA)</t>
  </si>
  <si>
    <t>Z14/497</t>
  </si>
  <si>
    <t>SPORT- BAU TRADE KFT: LÉVIA U. MŰFÜVES FUTBALLPÁLYA KIALAKÍTÁS TÖBBLETKÖLTSÉGE</t>
  </si>
  <si>
    <t>Z12/284</t>
  </si>
  <si>
    <t>TERMÁLFÜRDŐ ÉP. 025600</t>
  </si>
  <si>
    <t xml:space="preserve">VÁROSFEJLESZTŐ KFT: TERMÁLFÜRDŐ TERVEZÉS ENGEDÉLY </t>
  </si>
  <si>
    <t>Z13/725</t>
  </si>
  <si>
    <t>KVADRUM ÉPÍTÉSZ KFT: TERMÁLFÜRDŐ ENGEDÉLYES TERVEIHEZ KIEGÉSZÍTŐ TERV</t>
  </si>
  <si>
    <t>Z14/302</t>
  </si>
  <si>
    <t>BOGDÁN BT: SZAKÉRTŐI DÍJ - TERMÁLFÜRDŐ FEJLESZTÉSI KONCEPCIÓ</t>
  </si>
  <si>
    <t>Z14/122 B14/638</t>
  </si>
  <si>
    <t>PARCELLA GM KFT: TELEKALAKÍTÁS TERMÁLFÜRDŐVEL KAPCSOLATOS 10 HELYRAJZI SZÁMON</t>
  </si>
  <si>
    <t>Z14/122 B14/369</t>
  </si>
  <si>
    <t>PARCELLA GM KFT: VERESEGYHÁZ 1869 ÉPÜLETTÖRLÉS TERMÁLFÜRDŐVEL KAPCSOLATOSAN</t>
  </si>
  <si>
    <t>MEDVEOTTHON BŐVÍTÉS 028600</t>
  </si>
  <si>
    <t>Z14/213</t>
  </si>
  <si>
    <t>B ÉS M ÉPÍTŐ BT:ÚTÉPÍTÉS ÉS CSAPADÉKVÍZELVEZETÉS-MEDVEOTTHON</t>
  </si>
  <si>
    <t>Z14/119</t>
  </si>
  <si>
    <t>PLASTFER KFT: GEOTEXTÍLIA VÁSÁRLÁSA MEDVEOTTHON VÍZELVEZTŐ ÁROKÉPÍTÉS</t>
  </si>
  <si>
    <t>Z14/121</t>
  </si>
  <si>
    <t>BLOGÉK KFT: KAVICS VÁSÁRLÁS MEDVEFARM VÍZELVEZETÉSHEZ PATAK U.</t>
  </si>
  <si>
    <t>Z14/330</t>
  </si>
  <si>
    <t>Z14/331</t>
  </si>
  <si>
    <t>Z14/369</t>
  </si>
  <si>
    <t>BLOGÉK KFT: OSZTÁLYOZOTT KAVICS VÁSÁRLÁSA, SZÁLLÍTÁSA A MEDVEFARMRA, A BEJÁRATHOZ</t>
  </si>
  <si>
    <t>Z14/380</t>
  </si>
  <si>
    <t>PLASTFER KFT: GEOTEXTÍLIA VÁSÁRLÁSA MEDVEOTTHON VÍZELVEZTHÖZ</t>
  </si>
  <si>
    <t>Z14/426</t>
  </si>
  <si>
    <t>Z14/427</t>
  </si>
  <si>
    <t>BLOGÉK KFT: OSZTÁLYOZOTT KAVICS VÁSÁRLÁS MEDVEFARM VÍZELVEZETŐHÖZ</t>
  </si>
  <si>
    <t>Z14/428</t>
  </si>
  <si>
    <t>Z14/537</t>
  </si>
  <si>
    <t xml:space="preserve">BLOGÉK KFT: OSZTÁLYOZOTT KAVICS VÁSÁRLÁS PATAK U. - MEDVEFARM </t>
  </si>
  <si>
    <t>Z14/538</t>
  </si>
  <si>
    <t>Z14/547</t>
  </si>
  <si>
    <t>VIRBAU-TEAM KFT: MEDVEOTTHON FARKASKIFUTÓ KIVITELEZÉSE</t>
  </si>
  <si>
    <t>Z14/552</t>
  </si>
  <si>
    <t>DOBOS ÉS IVÁCSON ÉPÍTŐMESTER KFT: MEDVEFARM KÜLSŐ KERÍTÉS KÉSZÍTÉSE 700FM HOSSZAN</t>
  </si>
  <si>
    <t>084 040 Egyházközösségi tevékenység támogatása</t>
  </si>
  <si>
    <t>ÚJ RÓMAI KAT.TEMPLOM ÉP. 050600</t>
  </si>
  <si>
    <t>Z14/475</t>
  </si>
  <si>
    <t>NAGY LÁSZLÓ: ÚJ KATOLIKUS TEMPLOM KIVITELI TERVEK ELKÉSZÍTÉSE</t>
  </si>
  <si>
    <t>Z14/589</t>
  </si>
  <si>
    <t>DMRV ZRT: VÍZSZOLGÁLTATÁS FELFÜGGESZTÉSE FŐ ÚT 87,89-91.</t>
  </si>
  <si>
    <t>Z14/591</t>
  </si>
  <si>
    <t>BÖHMER SZOLG. KFT: FŐ ÚT 87,89,91 BONTÁSI TÖRMELÉK ELSZÁLLÍTÁSA</t>
  </si>
  <si>
    <t>Z14/592</t>
  </si>
  <si>
    <t>VERESGÉP KFT: FŐ ÚT 87,89,91 FELÉPÍTMÉNYEK BONTÁSA, TÖRMELÉK ELSZÁLLÍTÁSA</t>
  </si>
  <si>
    <t>ELŐIRÁNYZAT CSÖKKENTÉS =&gt; TARTALÉKKERET NÖVELÉSRE 2014.06.27</t>
  </si>
  <si>
    <t>ELŐIRÁNYZAT CSÖKKENTÉS =&gt; TARTALÉKKERET NÖVELÉSRE 2014.06.30</t>
  </si>
  <si>
    <t>Z13/747</t>
  </si>
  <si>
    <t>ISKOLA EMELET RÁÉP. 038600</t>
  </si>
  <si>
    <t>Z13/779</t>
  </si>
  <si>
    <t>Z14/106</t>
  </si>
  <si>
    <t>Z14/118</t>
  </si>
  <si>
    <t>CASTRUM 4 KFT:BELSŐ ÉPÍTÉSZETI TERVEK F.J.ÁLT.ISK.EMELETRÁÉP</t>
  </si>
  <si>
    <t>Z14/358</t>
  </si>
  <si>
    <t>KVADRUM ÉPÍTÉSZ KFT: ELEKTROMOS,BELSŐÉPÍTÉSZETI TERVEZŐI MŰVEZETÉS FJ.ÁLT.ISK.EMELETÁRÉPÍTÉSE</t>
  </si>
  <si>
    <t>Z14/441</t>
  </si>
  <si>
    <t>TILLSEC KFT: GYENGEÁRAMÚ FEDÉNY-TERVEK ELKÉSZÍTÉSE FJ ISK. EMELETRÁÉPÍTÉS</t>
  </si>
  <si>
    <t>Z14/540</t>
  </si>
  <si>
    <t>GENIUS BUILDER KFT: WÜRTZ KERÁMIA FALIKÉP RESTAURÁLÁSA FJ. ÁLT. ISK.</t>
  </si>
  <si>
    <t>Z14/541</t>
  </si>
  <si>
    <t>GENIUS BUILDER KFT: KUN ÉVA KERÁMIÁK VÁSÁRLÁSA - FJ. ÁLT. ISKOLÁBA</t>
  </si>
  <si>
    <t>Z14/586</t>
  </si>
  <si>
    <t>AAM</t>
  </si>
  <si>
    <t>KUN ÉVA: FJ ÁLT ISK. HOMLOKZATHOZ DÍSZLAPOK,MŰVÉSZETI ELEMEK</t>
  </si>
  <si>
    <t>05/6712</t>
  </si>
  <si>
    <t>Z13/836</t>
  </si>
  <si>
    <t>REF.ISK. 4 TANTER.BŐV. 038601</t>
  </si>
  <si>
    <t xml:space="preserve">JUKO KFT: REFORMÁTUS ISKKOLA 4 TANTEREMMEL VALÓ BŐVÍTÉSE </t>
  </si>
  <si>
    <t>Z14/17</t>
  </si>
  <si>
    <t xml:space="preserve">PERFECT PROJECT KFT: MŰSZAKI ELLENŐRZÉS REFORMÁTUS ISKOLA BŐVÍTÉS </t>
  </si>
  <si>
    <t xml:space="preserve">REFORMÁTUS ISKOLA EGYÉB BŐVÍTÉS </t>
  </si>
  <si>
    <t>GIMMN.ENG.TERVEK 039600</t>
  </si>
  <si>
    <t xml:space="preserve">GIMNÁZIUM ENGEDÉLYEZÉSI ÉS KIVITELI TERVE </t>
  </si>
  <si>
    <t>Z13/63</t>
  </si>
  <si>
    <t>BÖLCS.BŐV. 3. ÜTEM 042600</t>
  </si>
  <si>
    <t xml:space="preserve">CSÍKY ÉS TÁRSA KKFT: MŰSZAKI ELLENŐRZÉS BÖLCSŐDE BŐVÍTÉS 3. ÜTEM </t>
  </si>
  <si>
    <t>Veresegyházi Polgármesteri hivatal tervezett beruházási feladat 2014.év</t>
  </si>
  <si>
    <t>Z14/1</t>
  </si>
  <si>
    <t xml:space="preserve">TREMBECZKI ISTVÁNNÉ:ADATRÖGZÍTÉST TÁMOGATÓ PROGRAM    </t>
  </si>
  <si>
    <t>Z14/42</t>
  </si>
  <si>
    <t>EGYEDIT.HU KFT: MNO85 KULCSOS BÚTORSZÉF VÁSÁRLÁSA POLGÁRMESTERÚR IRODÁJÁBA</t>
  </si>
  <si>
    <t>Veresegyházi Polgármesteri hivatal tervezett beruházások összesen</t>
  </si>
  <si>
    <t>COFOG ÖSSZESEN EREDETI KÖTELEZŐ</t>
  </si>
  <si>
    <t>REF. RAVATALOZÓ FELÚJÍTÁS 003701</t>
  </si>
  <si>
    <t>Z14/245</t>
  </si>
  <si>
    <t>Z14/298</t>
  </si>
  <si>
    <t>P14/37</t>
  </si>
  <si>
    <t>UNIVIX KFT: REFORMÁTUS RAVATALOZÓ BŐV. KIVITELI TERV.DOK. MÁSOLÁSA</t>
  </si>
  <si>
    <t>Z14/548</t>
  </si>
  <si>
    <t>REGIOPLAN 71 KFT: REFORMÁTUS TEMETŐ RAVATALOZÓ ÉPÜLET ELŐTETŐ FEDVÉNYTERV ELKÉSZÍTÉSE</t>
  </si>
  <si>
    <t>KAT.RAVATALOZÓ FELÚJÍTÁS 003700</t>
  </si>
  <si>
    <t>Z14/19</t>
  </si>
  <si>
    <t>TÁJHÁZ REKONSTRUKCIÓ 027700</t>
  </si>
  <si>
    <t>Z14/262</t>
  </si>
  <si>
    <t>FŐ ÚT 95. TÁJHÁZ ÉPÜLET ÉRTÉKVÉDELMI VIZSGÁLAT</t>
  </si>
  <si>
    <t>Z13/155</t>
  </si>
  <si>
    <t>MŰV.HÁZ.FELÚJ. 029700</t>
  </si>
  <si>
    <t>Z13/709</t>
  </si>
  <si>
    <t>Z13/710</t>
  </si>
  <si>
    <t>Z14/48</t>
  </si>
  <si>
    <t>DINKA JÓZSEF: VÁCI MIHÁLY MŰV.HÁZ HOMLOKZAT FELÚJÍTÁS</t>
  </si>
  <si>
    <t>Z14/75</t>
  </si>
  <si>
    <t>Z14/141</t>
  </si>
  <si>
    <t>JUKO KFT:KÖVES U. 14. MŰV.HÁZ KÁBELFOGADÓ SZEKRÉNY CSERE</t>
  </si>
  <si>
    <t>Z14/226</t>
  </si>
  <si>
    <t>DINKA JÓZSEF VÁCI MIHÁLY MŰV.HÁZ FESTÉSI JAVÍTÁSOK</t>
  </si>
  <si>
    <t>Z13/442</t>
  </si>
  <si>
    <t>FJ ÁLT.IS.VILÁGÍTÁS KOR. 038700</t>
  </si>
  <si>
    <t>Z13/731</t>
  </si>
  <si>
    <t>Z13/195</t>
  </si>
  <si>
    <t>RÓMAI KAT. MŰEMLÉK TEMPLOM FELÚJÍTÁS 050700</t>
  </si>
  <si>
    <t>Z13/196</t>
  </si>
  <si>
    <t>Z13/200</t>
  </si>
  <si>
    <t>Z13/213</t>
  </si>
  <si>
    <t>Z13/214</t>
  </si>
  <si>
    <t>Z14/41</t>
  </si>
  <si>
    <t>NAGY LÁSZLÓ:KAT.TEMPLOM,PLÉBÁNIA FELÚJÍTÁS ENG.TERVEK</t>
  </si>
  <si>
    <t>Z14/323</t>
  </si>
  <si>
    <t>Z14/322</t>
  </si>
  <si>
    <t xml:space="preserve">KÖZBESZERZ.HATÓSÁG: IV.SZ TERMÁLKÚT FÚRÁSÁNAK KIVITELEZÉSE   </t>
  </si>
  <si>
    <t>TERMÁLFÜRDŐ ENGEDÉLYES ÉPÍTÉSI TERV</t>
  </si>
  <si>
    <t xml:space="preserve">KÖZBESZERZÉSI HATÓSÁG KÖZZÉTÉTELI DIJ                        </t>
  </si>
  <si>
    <t>KÖZBESZERZÉSI HATÓSÁG: TERMÁLFÜRDŐ ENGEDÉLY ÉPÍTÉSI TERVÉNEK ELKÉSZÍTÉSE</t>
  </si>
  <si>
    <t xml:space="preserve">Az önkormányzati vagyon és az önkormányzatot megillető vagyoni értékű jog értékesítéséből és hasznosításából származó bevétel, Osztalék, koncessziós díj és hozambevétel </t>
  </si>
  <si>
    <t>2014.évben visszafiz</t>
  </si>
  <si>
    <t>MISSZIÓ eü Közp</t>
  </si>
  <si>
    <t>értékvesztés</t>
  </si>
  <si>
    <t>2014.nyitó állomány</t>
  </si>
  <si>
    <t>Módosított előirányzat 2014.09.30.</t>
  </si>
  <si>
    <t>Kiegészítő támogatás</t>
  </si>
  <si>
    <t>Református egyház  iskola építés részköltség térítés</t>
  </si>
  <si>
    <t>Sportkör lelátó építés támogatás</t>
  </si>
  <si>
    <t>Triatlon Sport, Royal Rangers támogatás</t>
  </si>
  <si>
    <t>Horgászegyesület, Támaszpont Alapítvány támogatás</t>
  </si>
  <si>
    <t>K&amp;H folyószámla hitel 07.01-től</t>
  </si>
  <si>
    <t>TRAVILL 348 mil kamat 1,1M  hitelből</t>
  </si>
  <si>
    <t>TRAVILL 300mil és kamata -előző évi</t>
  </si>
  <si>
    <t>Takarék konszolidáció kamattal</t>
  </si>
  <si>
    <t>K&amp;H 900M folyószámla hitel és kamata hiteladminisztrációs díjjal</t>
  </si>
  <si>
    <t>Munkabér hitel kamattal</t>
  </si>
  <si>
    <t>I. Adósságot keletkeztető ügyletek: hitel felvétel</t>
  </si>
  <si>
    <t xml:space="preserve">    ebből:1.200Mil fejlesztési</t>
  </si>
  <si>
    <t xml:space="preserve">    ebből: 900 mil folyószla</t>
  </si>
  <si>
    <t>8086/2014</t>
  </si>
  <si>
    <t>8085/2014</t>
  </si>
  <si>
    <t>500 MIL</t>
  </si>
  <si>
    <t>150mil</t>
  </si>
  <si>
    <t>110 MIL</t>
  </si>
  <si>
    <t>Módosított előirányzat 2014.09.28.</t>
  </si>
  <si>
    <t>ÖNKORMÁNYZAT KORMÁNYZATI FUNKCIÓ  ELŐIRÁNYZAT ÖSSZESEN</t>
  </si>
  <si>
    <t>SZABAD EI</t>
  </si>
  <si>
    <t>UTC TRADE KFT: WIN 7 SZOFTVERVÁSÁRLÁS</t>
  </si>
  <si>
    <t>P14/38</t>
  </si>
  <si>
    <t>SPEEDDEPO KFT.: MEMÓRIA KÁRTYA, FÜLHALLGATÓ,CERUZA TABLETHEZ, STB.</t>
  </si>
  <si>
    <t>P14/39</t>
  </si>
  <si>
    <t>NOTEBOOKSPECIALISTA.HU KFT.: ASUS MEMO PAD VÁSÁRLÁSA</t>
  </si>
  <si>
    <t>SZÜNETMENTES TÁP VÁSÁRLÁS</t>
  </si>
  <si>
    <t>Z14/740</t>
  </si>
  <si>
    <t>PCX KFT: SZÜNETMENTES TÁP, BILLENTYŰZET, EGÉR, SWITCH VÁSÁRLÁS</t>
  </si>
  <si>
    <t>Z14/671</t>
  </si>
  <si>
    <t>METRO KFT: SZALAGOS SZÁMOLÓGÉP, TŰZOLTÓKÉSZÜLÉK VÁSÁRLÁSA</t>
  </si>
  <si>
    <t>Z14/608</t>
  </si>
  <si>
    <t>BARNUS ÉS TÁRSA BT: REFORMÁTUS TEMETŐ KERÍTÉSMEZŐK GYÁRÁTSA, SZERELÉSE</t>
  </si>
  <si>
    <t>VÁRHATÓ KÖTVÁLL</t>
  </si>
  <si>
    <t>ILLÉSMESTER KFT: REFORMÁTUS TEMETŐ KERÍTÉSÉNEK BURKOLÁSA</t>
  </si>
  <si>
    <t>Z14/629</t>
  </si>
  <si>
    <t>MATEJKA MÁRTONNÉ: ŐRBOTTYÁN 0103/48HRSZ 3544/3061-ED TULAJDONRÉSZ ING. VÉTELÁR</t>
  </si>
  <si>
    <t>Z14/630</t>
  </si>
  <si>
    <t>KRIZSÁN MIHÁLYNÉ: ŐRBOTTYÁN 0103/48HRSZ 543/3061-ED TULAJDONRÉSZ ING. VÉTELÁR</t>
  </si>
  <si>
    <t>Z14/631</t>
  </si>
  <si>
    <t>MATEJKA MÁRTONNÉ: ŐRBOTTYÁN 0103/48HRSZ 300/3061-ED TULAJDONRÉSZ ING. VÉTELÁR</t>
  </si>
  <si>
    <t>Z14/632</t>
  </si>
  <si>
    <t>KORENY JÁNOSNÉ: ŐRBOTTYÁN 0103/48HRSZ 300/3061-ED TULAJDONRÉSZ ING. VÉTELÁR</t>
  </si>
  <si>
    <t>Z14/639</t>
  </si>
  <si>
    <t>NACSA ERNŐ FERENC: VERESEGYHÁZ 065/23HRSZ 587NM GYÜMÖLCSÖS INGATLAN VÉTELÁR</t>
  </si>
  <si>
    <t>Z14/640</t>
  </si>
  <si>
    <t>KAKUSZI ISTVÁNNÉ: VERESEGYHÁZ 065/122HRSZ 881NM GYÜMÖLCSÖS INGATLAN VÉTELÁR</t>
  </si>
  <si>
    <t>Z14/716</t>
  </si>
  <si>
    <t>HALÁSZNÉ TÓTH ÉVA CSILLA: VERESEGYHÁZ 043/28HSZ 359NM SZÁNTÓ VÉTELÁR</t>
  </si>
  <si>
    <t>Z14/751</t>
  </si>
  <si>
    <t>KERN ISTVÁN BALÁZS: VERESEGYHÁZ 014/26HRSZ 769NM SZÁNTÓ INGATLAN VÉTELÁR</t>
  </si>
  <si>
    <t>Z14/752</t>
  </si>
  <si>
    <t>TÓTH ZSOLT-TÓTH PÉTER: VERESEGYHÁZ 043/28HRSZ SZÁNTÓ INGATLAN VÉTELÁR</t>
  </si>
  <si>
    <t>Z14/686</t>
  </si>
  <si>
    <t>VARGYAS ERZSÉBET 9386/1HRSZ 1326NM INGATLAN VÁSÁRLÁS</t>
  </si>
  <si>
    <t>Z14/707</t>
  </si>
  <si>
    <t>BALDAUF LÁSZLÓ: VERESEGYHÁZ, 9386/2HRSZ 6004NM INGATLAN VÁSÁRLÁS</t>
  </si>
  <si>
    <t>Z14/719</t>
  </si>
  <si>
    <t>TÓTH FERENCNÉ: FŐ ÚT 130. 627. NM INGATLAN VÁSÁRLÁS</t>
  </si>
  <si>
    <t>RLD WIND BAU KFT: 580/1,/2HRSZ INGATLAN VÉTELÁR</t>
  </si>
  <si>
    <t>Z14/624</t>
  </si>
  <si>
    <t>Z14/643</t>
  </si>
  <si>
    <t>ELMŰ HÁLÓZATI KFT: 5785/132,143-146,150-152HRSZ VILLAMOSENERGIA ELLÁTÁS KIÉPÍTÉSE - SZENT-GYÖRGYI UTCÁBAN ÉPÜLŐ TÁRSASHÁZAK</t>
  </si>
  <si>
    <t>Z14/663</t>
  </si>
  <si>
    <t>TIGÁZ DSO FÖLDGÁZELOSZTÓ KFT: CSATLAKOZÁSI DÍJ KERTÉSZ UTCA 5785/148 HRSZ</t>
  </si>
  <si>
    <t>Z14/704</t>
  </si>
  <si>
    <t>Z14/738</t>
  </si>
  <si>
    <t xml:space="preserve">TP KOMPLEX BERUHÁZÓ ZRT:  BÖLCSŐDE U.5., 5785/150HRSZ-Ú 13 LAKÁSOS  LAKÓÉPÜLET VÉTELÁR </t>
  </si>
  <si>
    <t>Z14/739</t>
  </si>
  <si>
    <t xml:space="preserve">TP KOMPLEX BERUHÁZÓ ZRT:BÖLCSŐDE U. 3., 5785/151HRSZ-Ú 13 LAKÁSOS  LAKÓÉPÜLET VÉTELÁR </t>
  </si>
  <si>
    <t>Z14/728</t>
  </si>
  <si>
    <t>PORCIÓ KFT: SPORTFÖLD U.- BÖLCSŐDE U. SARKÁN LÉVŐ 30 LAKÁSOS TÁRSASHÁZ TERMÁL HŐKÖZPONTJÁNAK KIÉPÍTÉSE</t>
  </si>
  <si>
    <t>EGYÉB ÉPÜLET BESZERZÉS, LÉTESÍTÉS 004603</t>
  </si>
  <si>
    <t>Z14/767</t>
  </si>
  <si>
    <t>Z14/724</t>
  </si>
  <si>
    <t>PORCIÓ KFT: VICZIÁN - LÉVAI U.-I RAKTÁRÉPÜLET TERMÁLVÍZ ELLÁTÁSA</t>
  </si>
  <si>
    <t>Z14/725</t>
  </si>
  <si>
    <t>PORCIÓ KFT: BÖLCSŐDE U.-BAN ÉPÜLŐ KÖZPONTI TÁRSASHÁZ TERMÁLVÍZ ELLÁTÁSA</t>
  </si>
  <si>
    <t>Z14/729</t>
  </si>
  <si>
    <t>PORCIÓ KFT: SPORTFÖLD U.- BÖLCSŐDE U. SARKÁN LÉVŐ 30 LAKÁSOS TÁRSASHÁZ TERMÁL TÁVVEZETÉK FEKTETÉSI MUNKÁI</t>
  </si>
  <si>
    <t>PORCIÓ KFT: KERTÉSZETI NAGYFOGYASZTÓ BEKAPCSOLÁSA A VERESEGYHÁZI TERMÁLFŰTÉSI RENDSZERBE</t>
  </si>
  <si>
    <t>Z14/623</t>
  </si>
  <si>
    <t>KÖZBESZERZÉS</t>
  </si>
  <si>
    <t>Z14/651</t>
  </si>
  <si>
    <t>Z14/652</t>
  </si>
  <si>
    <t>MAGYAR KÖZÚT NONPROFIT ZRT: BUDAPESTI ÚT - KÖNYVES KÁLMÁN UTCAI KÖRFORGALOM KIVITELEZÉS MŰSZAKI ELLENŐRZÉSE</t>
  </si>
  <si>
    <t>Z14/662</t>
  </si>
  <si>
    <t>MONOVIA BT: IBOLYA UTCA ÚTALAP ÉPÍTÉSE</t>
  </si>
  <si>
    <t>Z14/690</t>
  </si>
  <si>
    <t>MONOVIA BT: ORGONA U. ÚTALAP ÉPÍTÉS</t>
  </si>
  <si>
    <t>Z14/708</t>
  </si>
  <si>
    <t>SWIETELSKY MAGYARORSZÁG KFT: ARANYFORINT - TEMPLOM UTCA ASZFALTOZÁSA</t>
  </si>
  <si>
    <t>Z14/709</t>
  </si>
  <si>
    <t>SWIETELSKY MAGYARORSZÁG KFT: JÁCINT - REPKÉNY UTCA ASZFALTOZÁSA</t>
  </si>
  <si>
    <t>Z14/710</t>
  </si>
  <si>
    <t>SWIETELSKY MAGYARORSZÁG KFT:  KINIZSI - TULIPÁN - SZEGFŰ UTCA ASZFALTOZÁSA</t>
  </si>
  <si>
    <t>Z14/711</t>
  </si>
  <si>
    <t>SWIETELSKY MAGYARORSZÁG KFT: PIPACS - FODORMENTA UTCA ASZFALTOZÁSA</t>
  </si>
  <si>
    <t>Z14/712</t>
  </si>
  <si>
    <t>SWIETELSKY MAGYARORSZÁG KFT:  IBOLYA-ORGONA UTCA ASZFALTOZÁSA</t>
  </si>
  <si>
    <t>BLOGÉK KFT: KAVICS VÁSÁRLÁS ANDRÁSSY ÚTI JÁRDAÉPÍTÉSHEZ</t>
  </si>
  <si>
    <t>MONOVIA BT: KARACS TERÉZ U. ÚTALAP ÉPÍTÉS</t>
  </si>
  <si>
    <t>MONOVIA BT: BERKENYE U. ÚTALAP ÉPÍTÉS</t>
  </si>
  <si>
    <t>MONOVIA BT: SZEGFŰ U. ÚTALAP ÉPÍTÉS</t>
  </si>
  <si>
    <t>B ÉS M ÉPÍTŐ BT: FŐ ÚT 155-159 SZÁMÚ LAKÓINGATLANOK ELŐTTI JÁRDASZAKASZ KIBŐVÍTÉSE</t>
  </si>
  <si>
    <t>2014.06.30. ELŐIRÁNYZAT CSÖKKENTÉS =&gt; TARTALÉKKERET NÖVELÉSE</t>
  </si>
  <si>
    <t xml:space="preserve">25917 UTLAPON UTALVA </t>
  </si>
  <si>
    <t>2014.09.28.ELŐIRÁNYZAT CSÖKKENTÉS =&gt; TARTALÉKKERET NÖVELÉSE</t>
  </si>
  <si>
    <t>Z14/661</t>
  </si>
  <si>
    <t>JUKO KFT: FÁCÁN U. KÖZVILÁGÍTÁSI HÁLÓZAT BŐVÍTÉS</t>
  </si>
  <si>
    <t>Z14/665</t>
  </si>
  <si>
    <t>MONOVIA BT: IBOLYA UTCA CSAPADÉKCSATORNA ÉPÍTÉSE</t>
  </si>
  <si>
    <t>PATAK U. CSAPADÉKCSATORNA ÉPÍTÉS</t>
  </si>
  <si>
    <t>PLANTOR KFT: TÓPART VÁROSRÉSZRE CSAPADÉKCSATORNA TERV KÉSZÍTÉSE</t>
  </si>
  <si>
    <t xml:space="preserve">B ÉS M ÉPÍTŐ BT: ÓVODA UTCA ZÁRT RENDSZERŰ CSAPADÉKVÍZ ELVEZETŐ RENDSZER KIÉPÍTÉSE </t>
  </si>
  <si>
    <t>B ÉS M ÉPÍTŐ BT: KINIZSI U. VÍZNYELŐAKNÁK BŐVÍTÉSE, ÉPÍTÉSE</t>
  </si>
  <si>
    <t>RIAREX VAGYONVÉDELMI KFT: SZÁMÍTÓGÉP,TÉVÉ VÁSÁRLÁSA TÉRFIGYELŐ RENDSZERHEZ</t>
  </si>
  <si>
    <t>RIAREX VAGYONVÉDELMI KFT: SZÁMÍTÓGÉP,MONITOR VÁSÁRLÁSA VAGYONVÉDELMI RENDSZ.-HEZ</t>
  </si>
  <si>
    <t>Z14/585</t>
  </si>
  <si>
    <t>-</t>
  </si>
  <si>
    <t>Z14/664</t>
  </si>
  <si>
    <t>B ÉS M ÉPÍTŐ BT: SPORTPÁLYA LELÁTÓ VASBETON ALAPOZÁS</t>
  </si>
  <si>
    <t>Z14/642</t>
  </si>
  <si>
    <t>GRÓF Z.-2000 BT: BÖLCSŐDE U.-I MŰFÜVES PÁLYA FÖLDMUNKÁIBÓL KITERMELT FÖLD ELSZÁLLÍTÁSA</t>
  </si>
  <si>
    <t>Z14/333</t>
  </si>
  <si>
    <t>KVADRUM ÉPÍTÉSZ KFT: TERMÁLFÜRDŐ ENGEDÉLYES ÉPÍTÉSI TERV</t>
  </si>
  <si>
    <t>T14/1263</t>
  </si>
  <si>
    <t>T14/1276</t>
  </si>
  <si>
    <t>Z14/667</t>
  </si>
  <si>
    <t>HYDROSYS KFT: TERMÁLFÜRDŐ TERMÁLVÍZKIVÉTEL VÍZKÉSZLETGAZDÁLKODÁS TANULMÁNY</t>
  </si>
  <si>
    <t>B14/64</t>
  </si>
  <si>
    <t>PEST MEGYEI KORMÁNYHIVATAL GÖDÖLLŐ JÁRÁSI HIVATAL JÁRÁSI NÉPEGÉSZSÉGÜGYI INTÉZETE: SZAKHATÓSÁGI IGAZGATÁSI SZOLG.DÍJ TERMÁLFÜRDŐ</t>
  </si>
  <si>
    <t>B14/1526</t>
  </si>
  <si>
    <t>KÖZÉP-DUNA-VÖLGYI KÖRNYEZETVÉDELMI ÉS TERMÉSZETVÉDELMI FELÜGYELŐSÉG: SZAKHATÓSÁGI IGAZGATÁSI SZOLG.DÍJ TERMÁLFÜRDŐ</t>
  </si>
  <si>
    <t>B14/1525</t>
  </si>
  <si>
    <t>MAGYAR KERESKEDLMI ENGEDÉLYEZÉSI HIVATAL: SZAKHATÓSÁGI IGAZGATÁSI SZOLG.DÍJ TERMÁLFÜRDŐ</t>
  </si>
  <si>
    <t>PEST MEGYEI KORMÁNYHIVATAL: ÉPÍTÉSÜGYI HATÓSÁGI ENG. ÉTDR. 201400051307 TERMÁLFÜRDŐ</t>
  </si>
  <si>
    <t>Z14/654</t>
  </si>
  <si>
    <t>VERES-BAU TEAM KFT: MEDVEOTTHON TERÜLETÉN ÚJ FARKASKIFUTÓ ÉPÍTÉSE</t>
  </si>
  <si>
    <t>ER-TERV BT: ŐRBOTTYÁN 0110/3,0110/4HRSZ-Ú INGATLANOK, MEDVEOTTHON KÖZPARKHOZ KAPCSOLÓDÓ CSEREERDŐ TELEPÍTÉSI TERVDOKUMENTÁCIÓ ELKÉSZÍTÉSE</t>
  </si>
  <si>
    <t>ER-TERV BT:ŐRBOTTYÁN 0103/49HRSZ INGATLAN, MEDVEOTTHON KÖZPARKHOZ TERVDOKUMENTÁCIÓ ELKÉSZÍTÉSE</t>
  </si>
  <si>
    <t>Z14/622</t>
  </si>
  <si>
    <t>SAUBERMACHER-MAGYARORSZÁG KFT: VERESEGYHÁZ FŐ ÚT 87.BONTÁSA VESZÉLYES ANYAGOK SEMLEGESÍTÉSE</t>
  </si>
  <si>
    <t>Z14/672</t>
  </si>
  <si>
    <t>TIGÁZ DSO KFT: FŐ ÚT 87-89-91 LEÁGAZÓ GÁZVEZETÉK LEVÁGÁS</t>
  </si>
  <si>
    <t>Z14/695</t>
  </si>
  <si>
    <t>HE-DO KFT: KATOLIKUS TEMPLOM MELLETTI HÁZAK BONTÁSI ANYAGÁNAK LERAKÓBA TÖRTÉNŐ SZÁLLÍTÁS ELŐTTI MÉRLEGELÉSE</t>
  </si>
  <si>
    <t>B14/1353</t>
  </si>
  <si>
    <t>PEST MEGYEI KORMÁNYHIVATAL: ÉPÍTÉSÜGYI HATÓSÁGI ENGEDÉLYEZÉSI ELJÁRÁSBAN SZAKHATÓSÁGI KÖZREMŰKÖDÉS IGAZGATÁSI SZOLGÁLTATÁSI DÍJ</t>
  </si>
  <si>
    <t>FABRICZIUS ISKOLA EGYÉB KÖLTSÉGEK</t>
  </si>
  <si>
    <t>PRÍM ÉPÍTŐ KFT: F.J.ÁLT.ISK. EMELETRÁÉPÍTÉS II.ÜTEM KIVITELEZÉS</t>
  </si>
  <si>
    <t>Z14/653</t>
  </si>
  <si>
    <t>ALEX FÉMBÚTOR KFT: F.J. ÁLTALÁNOS ISKOLA ESZKÖZBESZERZÉS</t>
  </si>
  <si>
    <t>Z14/666</t>
  </si>
  <si>
    <t>NO-LA BT: FJ.ÁLT.ISK.SZENNYVÍZ ÉS CSAPADÉKCSATORNABEÁLLÁS BEKÖTÉSE</t>
  </si>
  <si>
    <t>BLOGÉK KFT: FABRICZIUS JÓZSEF ÁLT. ISK. SZENNYVÍZBEKÖTÉS ÉPÍTÉSE</t>
  </si>
  <si>
    <t>NO-LA BT: FJ.ÁLT.ISK. IVÓVÍZ, - TŰZIVÍZ BEÁLLÁS KIVITELEZÉSE</t>
  </si>
  <si>
    <t>EGYMI ISKOLA ÉPÍTÉSI, ENGEDÉLYEZÉSI, KIVITELI TERV</t>
  </si>
  <si>
    <t>B14/1354</t>
  </si>
  <si>
    <t xml:space="preserve">2014.09.28. ELŐIRÁNYZAT CSÖKKENTÉS =&gt; TARTALÉKKERET NÖVELÉSRE </t>
  </si>
  <si>
    <t>Szakfeladat összesen MÓDOSÍTOTT 2014.12.31. ÖNKÉNT VÁLLALT</t>
  </si>
  <si>
    <t>REGIOPLAN 71 KFT: REFORMÁTUS RAVATALOZÓ ELŐTETŐÉPÍTÉSÉNEK TERVEZŐI MŰVEZETÉSE</t>
  </si>
  <si>
    <t>FELÚJÍTÁS 036700</t>
  </si>
  <si>
    <t>Z14/669</t>
  </si>
  <si>
    <t>CONCORDE BAU KFT: PIROS ÓVODA TETŐFELÚJÍTÁSI MUNKÁI</t>
  </si>
  <si>
    <t>Z14/723</t>
  </si>
  <si>
    <t>ILLÉSMESTER KFT: SZÉCHENYI ÓVODA 2.Ü. FŐ,GAZD-I-BEJÁRAT,KERÍTÉS ÉPÍTÉS</t>
  </si>
  <si>
    <t>Szakfeladat összesen MÓDOSÍTOTT 2014.09.28. ÖNKÉNT VÁLLALT</t>
  </si>
  <si>
    <t>Szakfeladat összesen  MÓDOSÍTOTT 2014.09.28. KÖTELEZŐ</t>
  </si>
  <si>
    <t>Szakfeladat összesen  MÓDOSÍTOTT 2014.09.30. KÖTELEZŐ</t>
  </si>
  <si>
    <t>Önkormányzattól kapott műk. Támogatás -Óvoda működésre</t>
  </si>
  <si>
    <t xml:space="preserve"> ideiglenes jell. Tevékenység iparűzési adó</t>
  </si>
  <si>
    <t>Városfejlesztési hozzájárulás - Pásztor Béla</t>
  </si>
  <si>
    <t>TIGÁZ -DSO Kft. Fejlesztési kölcsön visszatérülés</t>
  </si>
  <si>
    <t>Természetbeni gyermekvédelmi támogatás- étkezés</t>
  </si>
  <si>
    <t>Egyéb önkormányzati pénzbeli családi támogatás- gyermekeknek bizottsági döntés alapján</t>
  </si>
  <si>
    <t>Egyéb nem pénzügyi vállalkozásnak műk. Célú támogatás - Gödöllő -Vác Vízgazd. Foglalkoztatást segítő támogatás</t>
  </si>
  <si>
    <t>Hitel tölresztés halmozott</t>
  </si>
  <si>
    <t>Hitel tölresztés havonta</t>
  </si>
  <si>
    <t>Veresegyház Városi Önkormányzat</t>
  </si>
  <si>
    <t>Egyég felhalmozási támogatás ÁHK- református ravatalozó felújítása- Küldetés az Emberért támogatás</t>
  </si>
  <si>
    <t>Módosított előirányzat 2014.12.31.</t>
  </si>
  <si>
    <t>Tárgyévi saját bevételek összege  Módosított előirányzat 2014.12.31</t>
  </si>
  <si>
    <t>A fennálló összegből tárgyévben esedékes tőketartozás Módosított előirányzat 2014.12.31.</t>
  </si>
  <si>
    <t>Módosított előirányzat 2014.12.31</t>
  </si>
  <si>
    <t>2014.12.31. MÓDOSÍOTT ELŐIRÁNYZAT</t>
  </si>
  <si>
    <t>2014.12.31. MÓDOSÍTOTT ELŐIRÁNYZAT</t>
  </si>
  <si>
    <t>Közvetett támogatás összege 2014.12.31. MÓDOSÍTOTT ELŐIRÁNYZAT</t>
  </si>
  <si>
    <t>Teljesítés 2014.12.31.</t>
  </si>
  <si>
    <t>2014.12.31. TELJESÍTÉS</t>
  </si>
  <si>
    <t>Közvetett támogatás összege 2014.12.31. TELJESÍTÉS</t>
  </si>
  <si>
    <t>Tárgyévi saját bevételek összege  teljesítés 2014.12.31</t>
  </si>
  <si>
    <t>A fennálló összegből tárgyévben esedékes tőketartozás teljesítés 2014.12.31.</t>
  </si>
  <si>
    <t>Teljesítés 2014.12.31</t>
  </si>
  <si>
    <t>2013. évi pótlék</t>
  </si>
  <si>
    <t>Egyházi jogi személytől műk. célú visszatérítendő támogatás -Református egyház</t>
  </si>
  <si>
    <t>Háztartásoktól műk. célú kölcsön visszatérülése</t>
  </si>
  <si>
    <t xml:space="preserve">Non-profit gazdasági társaságtól műk. kölcsön visszatérülése -Bölcsőde u. társasház </t>
  </si>
  <si>
    <t>Egyéb vállalkozástól műk. célú kölcsön visszatérülése -Kőrösik Bt.</t>
  </si>
  <si>
    <t>Egyéb vállalkozástól műk. célú kölcsön visszatérülése -Novusz Immo</t>
  </si>
  <si>
    <t>Egyéb vállalkozástól műk. célú kölcsön visszatérülése -Hajdú Kft.</t>
  </si>
  <si>
    <t>Egyéb vállalkozástól műk. célú kölcsön visszatérülése -TP Komplex</t>
  </si>
  <si>
    <t>Egyéb vállalkozástól műk. célú kölcsön visszatérülése -Veresmester Kft.</t>
  </si>
  <si>
    <t>Háztartásoktól műk. célú átvett pénzeszköz -gyermektartásdíj megelőlegezés</t>
  </si>
  <si>
    <t>Kormányoktól műk. célú átvett pénzeszköz -Szervezet fejlesztés a Polg. Hivatalban ÁROP projekt; Informatikai fejlesztés ASP központ-</t>
  </si>
  <si>
    <t>Háztartásoktól műk. célú átvett pénzeszköz -medvepersely pénz, medve örökbefogadás</t>
  </si>
  <si>
    <t>Non-profit gazdasági társaságtól műk. célú átvett pénzeszközök -régi csatorna közmű hátralék</t>
  </si>
  <si>
    <t>Egyéb vállalkozásoktól felh. célú átvett pénzeszköz -MOL Alagi gázátadó</t>
  </si>
  <si>
    <t>Egyéb vállalkozásoktól felh. célú átvett pénzeszköz -Porció, TP Komplex, TIGÁZ</t>
  </si>
  <si>
    <t>Árpád-házi Szent Erzsébet Alapítvány</t>
  </si>
  <si>
    <t xml:space="preserve">Folyószámla és Likviditási hitel </t>
  </si>
  <si>
    <t>Rövid és Hosszú lejáratú hitel</t>
  </si>
  <si>
    <t xml:space="preserve">Kiadások összesen </t>
  </si>
  <si>
    <t>52.sor</t>
  </si>
  <si>
    <t>68.sor</t>
  </si>
  <si>
    <t>Beszámoló 12/A</t>
  </si>
  <si>
    <t>önk.többs.  egyéb váll</t>
  </si>
  <si>
    <t>nem önk.  egyéb váll</t>
  </si>
  <si>
    <t>ideiglenesen átadott</t>
  </si>
  <si>
    <t>2014.12.31. állomány</t>
  </si>
  <si>
    <t>O szla.oszt.</t>
  </si>
  <si>
    <t>kölcsön (csak tőke)</t>
  </si>
  <si>
    <t>Jövedelem pótló támogatás</t>
  </si>
  <si>
    <t>Áthúzodó bérkompenzáció</t>
  </si>
  <si>
    <t>KORMÁNYZATI FUNKCIÓ</t>
  </si>
  <si>
    <t>TÉMA</t>
  </si>
  <si>
    <t>VERESEGYHÁZ VÁROS ÖNKORMÁNYZAT TERVEZETT BERUHÁZÁSI FELADAT 2014. ÉV</t>
  </si>
  <si>
    <t>Módosított előirányzat 2014.06.30.</t>
  </si>
  <si>
    <t>COFOG ÖSSZESEN MÓDOSÍTOTT 2013.06.30. ÖNKÉNT VÁLLALT</t>
  </si>
  <si>
    <t>Szakfeladat összesen MÓDOSÍTOTT 2013.09.28. ÖNKÉNT VÁLLALT</t>
  </si>
  <si>
    <t>COFOG ÖSSZESEN  MÓDOSÍTOTT 2013.06.30. KÖTELEZŐ</t>
  </si>
  <si>
    <t>Szakfeladat összesen  MÓDOSÍTOTT 2013.09.28. KÖTELEZŐ</t>
  </si>
  <si>
    <t>Szakfeladat összesen  MÓDOSÍTOTT 2013.09.30. KÖTELEZŐ</t>
  </si>
  <si>
    <t>NETTÓ TELJESÍTÉS 2014.12.31.</t>
  </si>
  <si>
    <t>BRUTTÓ TELJESÍTÉS 2014.12.31 FORDÍTOTT ÁFA NÉLKÜL</t>
  </si>
  <si>
    <t>COFOG ÖSSZESEN 2014.12.31. TELJESÍTÉS</t>
  </si>
  <si>
    <t>056322</t>
  </si>
  <si>
    <t>Z13/598</t>
  </si>
  <si>
    <t>E-SZOFTVERFEJLESZTŐ KFT: E-KATA SZOFTVER VÁSÁRLÁS</t>
  </si>
  <si>
    <t>Z14/94</t>
  </si>
  <si>
    <t>Z14/881</t>
  </si>
  <si>
    <t>IPON COMPUTER KFT.: HP OFFICE JETPRO NYOMATÓ BESZERZÉS</t>
  </si>
  <si>
    <t>PCX KFT: SZÜNETMENTES TÁP VÁSÁRLÁS</t>
  </si>
  <si>
    <t>Z14/845</t>
  </si>
  <si>
    <t>PCX KFT: NOTEBOOK, MONITOR, WIN8 SZOFTVER, OFFICE 2013 SZOFTVER VÁSÁRLÁS ALPOLGÁRMESTERI GÉPHEZ</t>
  </si>
  <si>
    <t>Z14/914</t>
  </si>
  <si>
    <t>PCX KFT: AUSUS FEKETE NOTEBOOK VÁSÁRLÁS KÉPVISELŐI RÉSZRE</t>
  </si>
  <si>
    <t>Z14/1002</t>
  </si>
  <si>
    <t>IPON COMPUTER KFT: LAPTOP VÁSÁRLÁS ADÓ OSZTÁLYRA LAKCÍM,GÉPJ.NYILV.TARTÁSHOZ</t>
  </si>
  <si>
    <t>0564292</t>
  </si>
  <si>
    <t>Z14/856</t>
  </si>
  <si>
    <t>TRITEL KFT: PANASONIC VONALAS TELEFON VÁSÁRLÁSA ALPOLGÁRMESTERI RÉSZRE</t>
  </si>
  <si>
    <t>Z14/895</t>
  </si>
  <si>
    <t>EUROWIND KFT: LEICA JOGGER 28 SZINTEZŐ CSOMAG VÁSÁRLÁSA</t>
  </si>
  <si>
    <t>056425</t>
  </si>
  <si>
    <t>P14/190</t>
  </si>
  <si>
    <t>NAGYÉRTÉKŰ TÁRGYI ESZKÖZ 001602</t>
  </si>
  <si>
    <t>TAMÁS AUTÓ KFT.: ÚJ ORVOSI ÜGYELETI GÉPJÁRMŰ MEGVÁSÁRLÁSA</t>
  </si>
  <si>
    <t>056224</t>
  </si>
  <si>
    <t>RENESZÁNSZ KŐFARAGÓ ZRT.: REF TEMETŐ FŐBÁJÁRATI KERÍTÉSÉNEK LÁBAZATI FEDŐKŐ BORÍTÁSA - SÜTTŐI MÉSZKŐ</t>
  </si>
  <si>
    <t>Z14/829</t>
  </si>
  <si>
    <t>056221</t>
  </si>
  <si>
    <t>KOBZA GYÖRGY:087/16HRSZ INGATLAN VÉTELÁR</t>
  </si>
  <si>
    <t>RICHTER ÁRPÁD JÓZSEFNÉ:087/16HRSZ INGATLAN VÉTELÁR</t>
  </si>
  <si>
    <t>VARGA FERENCNÉ:087/16HRSZ INGATLAN VÉTELÁR</t>
  </si>
  <si>
    <t>MOLNÁR JÓZSEF:087/16HRSZ INGATLAN VÉTELÁR</t>
  </si>
  <si>
    <t>MOLNÁR JÓZSEFNÉ:087/16HRSZ INGATLAN VÉTELÁR</t>
  </si>
  <si>
    <t>KOBZA GYÖRGYNÉ:087/16HRSZ INGATLAN VÉTELÁR</t>
  </si>
  <si>
    <t xml:space="preserve">EGYÉB VÁSÁROLT FÖLDTERÜLET VÁSÁRLÁS </t>
  </si>
  <si>
    <t>Z14/820</t>
  </si>
  <si>
    <t>LENGYEL MÁRIA: VERESEGYHÁZ 052/16HRSZ 2881NM SZÁNTÓ VÉTELÁR</t>
  </si>
  <si>
    <t>Z14/821</t>
  </si>
  <si>
    <t>TÓBIÁS ERIKA: VERESEGYHÁZ 052/38HRSZ 4551NM SZÁNTÓ VÉTELÁR</t>
  </si>
  <si>
    <t>Z14/945</t>
  </si>
  <si>
    <t>SERFŐZŐ LÁSZLÓ ANDRÁS, SERFŐZŐ BERNADETT, SERFŐZŐ KITTI REBEKA: VERESEGYHÁZ 059/28HRSZ SZÁNTÓ VÉTELÁR</t>
  </si>
  <si>
    <t>Z14/946</t>
  </si>
  <si>
    <t>SERFŐZŐ LÁSZLÓ ANDRÁS, SERFŐZŐ BERNADETT, SERFŐZŐ KITTI REBEKA: VERESEGYHÁZ 043/24HRSZ SZÁNTÓ VÉTELÁR</t>
  </si>
  <si>
    <t>VINCZE ZSAKLIN 2549/6HRSZ 1HA 9553NM INGATLAN VÁSÁRLÁS</t>
  </si>
  <si>
    <t xml:space="preserve">EGYÉB TELEK, INGATLANOK, LAKÁSOK, BÉRLAKÁSOK VÁSÁRLÁSA </t>
  </si>
  <si>
    <t>0562221</t>
  </si>
  <si>
    <t xml:space="preserve">PINTÉR IBOLYA: ÚJISKOLA U. 15. INGATLAN VÉTELÁR </t>
  </si>
  <si>
    <t xml:space="preserve">DR. TÓTH GÉZÁNÉ MOGYORÓDI U. 11. 3537HRSZ INGATLAN VÉTELÁR </t>
  </si>
  <si>
    <t xml:space="preserve">POHL NÁNDORNÉ- MARGIT SCHERER - PINTÉR IBOLYA: KÁLVIN U. 21. INGATLAN VÉTELÁR </t>
  </si>
  <si>
    <t xml:space="preserve">TÓTH LÁSZLÓNÉ - TÓTH KLÁRA: FŐ ÚT 87. INGATLAN VÁSÁRLÁS </t>
  </si>
  <si>
    <t>Z14/846</t>
  </si>
  <si>
    <t>MARUSZKI JÁNOSNÉ, IFJ MOLNÁR EIK, MOLNÁR KRISZTINA, ID. MOLNÁR ERIK: VERESEGYHÁZ 632/2HRSZ CSOKONAI U. 8/A INGATLAN VÉTELÁR</t>
  </si>
  <si>
    <t>Z14/847</t>
  </si>
  <si>
    <t>KEREKESNÉ HAJÚ KATALIN: VERESEGYHÁZ 624HRSZ HÁRSFA U. 2. INGATLAN VÉTELÁR (1/2 HÁNYAD)</t>
  </si>
  <si>
    <t>0562222</t>
  </si>
  <si>
    <t>Z14/904</t>
  </si>
  <si>
    <t>TENGER-PART ZRT: VERESEGYHÁZ 0119/33HRSZ 15038NM INGATLAN VÉTELÁR</t>
  </si>
  <si>
    <t>Z14/915</t>
  </si>
  <si>
    <t>BÁNÓCZI ZSUZSANNA-BÁNÓCZI PÁL: VHÁZ 332HRSZ 1301NM, 333HRSZ 173NM,334HRSZ 538NM INGATLAN VÉTELÁR</t>
  </si>
  <si>
    <t>0562231</t>
  </si>
  <si>
    <t>PRIVÁT-TERMÁL KFT: 5785/140HRSZ 13 LAKÁSOS TÁRSASHÁZ VÉTELÁR (NEPTUN HÁZ)</t>
  </si>
  <si>
    <t>TERMLIMMO ZRT: 5785/139hRSZ 13 LAKÁSOS TÁRSASHÁZ VÉTELÁR (SELLÓ HÁZ)</t>
  </si>
  <si>
    <t>TERMALIMMO ZRT: 5785/144HRSZ KERTÉSZ U. 9., 13 LAKÁSOS TÁRSASHÁZ VÉTELÁR (DELFIN HÁZ)</t>
  </si>
  <si>
    <t>TP KOMPLEX BERUHÁZÓ ZRT: 5785/143HRSZ, KERÉSZ U. 7. 13 LAKÁSOS TÁRSASHÁZ VÁSÁRLÁS (ÍRISZ HÁZ)</t>
  </si>
  <si>
    <t>Z14/564</t>
  </si>
  <si>
    <t>KÉT FÁZIS KFT: IDIGLENES VILLAMOSENERGIA KIÉPÍTÉS 5785/143-145HRSZ ING-OKON</t>
  </si>
  <si>
    <t>TERMALIMMO ZRT: 5785/145HRSZ KERTÉSZ U. 11., 13 LAKÁSOS TÁRSASHÁZ VÉTELÁR (HÉRA HÁZ)</t>
  </si>
  <si>
    <t>TP KOMPLEX BERUHÁZÓ ZRT: 5785/146HRSZ-Ú 13 LAKÁSOS  LAKÓÉPÜLET VÉTELÁR (FLÓRA HÁZ)</t>
  </si>
  <si>
    <t>Z14/970</t>
  </si>
  <si>
    <t xml:space="preserve"> ELMŰ HÁLÓZATI KFT:   VHÁZ 5785/132,143-146,150-152HRSZ VILLAMOSENERGIA ELLÁTÁS KIÉPÍTÉS</t>
  </si>
  <si>
    <t>Üzlet vásárlás 004602</t>
  </si>
  <si>
    <t>IVACSI ÜZLET VÉTELÁR</t>
  </si>
  <si>
    <t>0562233</t>
  </si>
  <si>
    <t>VERES-PRAXIS KFT: 8832/103/A/1-A/8 HRSZ INGATLAN VÉTELÁR (RENDELŐK)</t>
  </si>
  <si>
    <t>Z14/831</t>
  </si>
  <si>
    <t>P14/287</t>
  </si>
  <si>
    <t xml:space="preserve">EGGI COLOR: ÖNKORMÁNYZATI INGATLANRA031/10 SZENYVÍZ SZIVATTYÚ VÁSÁRLÁS   </t>
  </si>
  <si>
    <t>056421</t>
  </si>
  <si>
    <t>Z14/1019</t>
  </si>
  <si>
    <t>EGYÉB GÉP BERENDEZÉS 004606</t>
  </si>
  <si>
    <t>NO-LA BT: PATAK U. 50/A LOVÁSZLAKÁSBAN GÁZKÉSZÜLÉK CSERE</t>
  </si>
  <si>
    <t>056321</t>
  </si>
  <si>
    <t xml:space="preserve">DMSONE ZRT : IKTATÓ, IRATKEZELŐ PROGRAM VÁSÁRLÁS        </t>
  </si>
  <si>
    <t>HÁLÓZATFEJLESZTÉS</t>
  </si>
  <si>
    <t xml:space="preserve">17 MUNKAÁLLOMÁS KIÉPÍTÉSE (PROCESSZOR, OFFICE, MONITOR) </t>
  </si>
  <si>
    <t>SZERVER BESZERZÉS (SZÁMÍTÓGÉP, SZÜNETMENTES TÁP)</t>
  </si>
  <si>
    <t>056422</t>
  </si>
  <si>
    <t>OKTÓBER 6-AI SZOBOR BESZERZÉSE</t>
  </si>
  <si>
    <t>Z14/755</t>
  </si>
  <si>
    <t>LEONARDO GOLD KFT: BRONZ ÖNTÉS - DAMJANICH JÁNOS</t>
  </si>
  <si>
    <t>ERDŐTELEPÍTÉS</t>
  </si>
  <si>
    <t xml:space="preserve">PORCIÓ KFT: LÉVAI UTCAI ÓVODA TERMÁL RENDSZERÉNEK KIÉPÍTÉSE </t>
  </si>
  <si>
    <t xml:space="preserve">PORCIÓ KFT: SPORTÖLTÖZŐ TERMÁL RENDSZERÉNEK KIÉPÍTÉSE </t>
  </si>
  <si>
    <t xml:space="preserve">PORCIÓ KFT: REFORMÁTUS TEMPLOM TERMÁL RENDSZERÉNEK KIÉPÍTÉSE </t>
  </si>
  <si>
    <t xml:space="preserve">PORCIÓ KFT: FŐ ÚT 106. HASZNÁLATI MELEGVÍZ ELLÁTÁSA TERMÁLVÍZZEL </t>
  </si>
  <si>
    <t>Z14/807</t>
  </si>
  <si>
    <t>Z14/808</t>
  </si>
  <si>
    <t>CSÍKY ÉS TÁRSA KKT: KERTÉSZETI NAYFOGYASZTÓ BEKAPCSOLÁSA A VERESEGYHÁZI TERMÁLFŰTÉSI RENDSZERBE MŰSZAKI ELLENŐRZÉS</t>
  </si>
  <si>
    <t>Z14/818</t>
  </si>
  <si>
    <t>CSÍKY ÉS TÁRSA KKT: KÖZBESZERZÉSI TANÁCSADÓI TEVÉKYENYSÉG, KERTÉSZETI NAGYFOGYASZTÓ BEKAPCSOLÁSA A VERESEGYHÁZI TERMÁLFŰTÉSI RENDSZERBE, 4. TERMÁLKÚTRA VONATKOZÓ 2.SZ. KÖZBESZERZÉSI ELJÁRÁS</t>
  </si>
  <si>
    <t>Z14/902</t>
  </si>
  <si>
    <t>PORCIÓ KFT: VICZIÁN U. RAKTÁRÉPÜLET TERMÁL HŐKÖZPONT KIÉPÍTÉSE</t>
  </si>
  <si>
    <t xml:space="preserve">GEOTERMIKUS ENERGIA TERMÁLKÚT EGYÉB KÖLTSÉGE </t>
  </si>
  <si>
    <t>Z14/937</t>
  </si>
  <si>
    <t>ELMŰ HÁLÓZATI KFT: 048/12HRSZ IV.TERMÁLKÚT VILLAMOS ENERGIA ELLÁTÁS TERVEK</t>
  </si>
  <si>
    <t>Z14/952</t>
  </si>
  <si>
    <t>ELMŰ HÁLÓZATI KFT: 4.TERMÁLKÚT ENERGIA ELLÁTÁS CSATLAKOZÁSI DÍJ 048/12</t>
  </si>
  <si>
    <t>Z14/948</t>
  </si>
  <si>
    <t>VIKUV ZRT: IV.TERMÁLKÚT FÚRÁS LEMÉLYÍTÉS</t>
  </si>
  <si>
    <t>261 15</t>
  </si>
  <si>
    <t xml:space="preserve">KÖZBESZERZÉSI HATÓSÁG:  IV.SZ TERMÁLKÚT KUTATÓFÚRÁS LEMÉLYÍTÉSE KIEG ÉP.BERUH.    </t>
  </si>
  <si>
    <t>Z14/781</t>
  </si>
  <si>
    <t>Z14/999</t>
  </si>
  <si>
    <t>ÉSZAK TÉRKŐ: KŐ VÁSÁRLÁS ORGONA U.-I LERAKÓBA SZÁLLÍTVA</t>
  </si>
  <si>
    <t xml:space="preserve">PENTA KFT: SALAMON U. ASZFALTOZÁS </t>
  </si>
  <si>
    <t xml:space="preserve">PENTA KFT: HARMÓNIA U. ASZFALTOZÁS </t>
  </si>
  <si>
    <t xml:space="preserve">PENTA KFT: REGŐS, HONFOGLALÁS, JULIANUS, BAKFARK B. UTCÁK, MESELIGET BÖLCSŐDE ELŐTTI PARKOLÓ ASZFALTOZÁS </t>
  </si>
  <si>
    <t xml:space="preserve">MONOVIA BT: HÓPEHELY U. ÚTALAP ÉPÍTÉS </t>
  </si>
  <si>
    <t xml:space="preserve">MONOVIA BT: MAJÁLIS U. ÚTALAP ÉPÍTÉS </t>
  </si>
  <si>
    <t xml:space="preserve">SWIETELSKY MAGYARORSZÁG KFT: HARCSA U. ASZFALTOZÁS </t>
  </si>
  <si>
    <t xml:space="preserve">SWIETELSKY MAGYARORSZÁG KFT: VICZIÁN U. ASZFALTOZÁS </t>
  </si>
  <si>
    <t xml:space="preserve">SWIETELSKY MAGYARORSZÁG KFT: KESZEG U. ASZFALTOZÁS </t>
  </si>
  <si>
    <t xml:space="preserve">PROTELEKOM KFT: CSOKONAI U. ELEKTROMOS HÍRKÖZLŐ HÁLÓZAT KIVÁLTÁS ÚTÉPÍTÉS MIATT </t>
  </si>
  <si>
    <t xml:space="preserve">PENTA KFT: SPORTFÖLD U. KÖRNYÉKE ASZFALTOZÁS ELŐKÉSZÍTÉS </t>
  </si>
  <si>
    <t xml:space="preserve">PENTA KFT: BÚZAVIRÁG U. ASZFALTOZÁS </t>
  </si>
  <si>
    <t xml:space="preserve">PENTA KFT: SPORTFÖLD U. KÖRNYÉKE ASZFALTOZÁS </t>
  </si>
  <si>
    <t xml:space="preserve">PENTA KFT: NEFELEJCS U. ASZFALTOZÁS </t>
  </si>
  <si>
    <t xml:space="preserve">BUNDER ÉS MÓCSÁNY BT: BARTÓK BÉLA U. ÚTALAP ÉS JÁRDA ÉPÍTÉS </t>
  </si>
  <si>
    <t xml:space="preserve">SWIETELSY MAGYARORSZÁG KFT: FŐ ÚT BUSZÖBÖL ASZFALTOZÁS </t>
  </si>
  <si>
    <t>KÖRFORGALOM ÉPÍTÉS TSZ TANYÁNÁL (KÖRFORGALOM ÉPÍTÉSE BUDAPESTI-CSOMÁDI ÚT)</t>
  </si>
  <si>
    <t>Z14/809</t>
  </si>
  <si>
    <t>KÖZLEKEDÉSFEJLESZTÉSI KOORDINÁCIÓS KÖZPONT: KÁRTALANÍTÁS BP-I-CSOMÁDI KÖRFORG.VÍZILÉTESÍTMÉNY ÉP.MIATT</t>
  </si>
  <si>
    <t>B14/392</t>
  </si>
  <si>
    <t>NMHH CSOMÁDI ÚT CSOMÓPONT KIVÁLTÁS</t>
  </si>
  <si>
    <t>25439 14</t>
  </si>
  <si>
    <t xml:space="preserve">KÖZBESZERZÉSI HATÓSÁG:  KÖRFORGALMÚ CSOMÓPONT ÉPÍTÉSE BUDAPESTI ÚT-CSOMÁDI ÚT        </t>
  </si>
  <si>
    <t>Z14/830</t>
  </si>
  <si>
    <t>SKS TERV KFT: BP-I ÚT CSOMÁDI ÚT KÖRFORG.TERVEZŐI MŰVEZETÉS</t>
  </si>
  <si>
    <t>B14/1954 32279 14</t>
  </si>
  <si>
    <t>KTVF: BUDAPESTI-CSOMÁDI ÚT KÖRFORGALOM FORGALOMBA HELYEZÉSE SZAKHATÓSÁGI ÁLLÁSFOGLALÁS</t>
  </si>
  <si>
    <t>Z14/998</t>
  </si>
  <si>
    <t>TIGÁZ DSO KFT: KÖZMŰKIVÁLTÁS,KÁRTALANÍTÁSI DÍJ BP-I-CSOMÁDI KÖRFORGALOM</t>
  </si>
  <si>
    <t>28900 14</t>
  </si>
  <si>
    <t>KÖZBESZERZÉSI HATÓSÁG:  KÖZZÉTÉTELI DÍJ BP-I ÚT - KÖNYVES KÁLMÁN KÖRFORGALOM</t>
  </si>
  <si>
    <t>Z14/795</t>
  </si>
  <si>
    <t xml:space="preserve">SKS TERV KFT: KÖRFORGALMI CSOMÓPONT BUDAPESTI ÚT - KÖNYVES KÁLMÁN ÚT </t>
  </si>
  <si>
    <t>Z14/957</t>
  </si>
  <si>
    <t>Z14/218</t>
  </si>
  <si>
    <t>Z14/769</t>
  </si>
  <si>
    <t>Z14/785</t>
  </si>
  <si>
    <t>Z14/786</t>
  </si>
  <si>
    <t>Z14/784</t>
  </si>
  <si>
    <t>Z14/793</t>
  </si>
  <si>
    <t>Z14/788</t>
  </si>
  <si>
    <t>EGYÉB ÚTÉPÍTÉS</t>
  </si>
  <si>
    <t>Z14/794</t>
  </si>
  <si>
    <t>BLOGÉK: BARÁZDA U. ÚTALAP ÉPÍTÉS</t>
  </si>
  <si>
    <t>Z14/790</t>
  </si>
  <si>
    <t>B ÉS M ÉPÍTŐ BT: ANDRÁSSY ÚT JÁRDA ÉPÍTÉS  TÉRKŐ BURKOLATTAL PÓTMUNKÁK</t>
  </si>
  <si>
    <t>B14/1543</t>
  </si>
  <si>
    <t>MAGYAR KÖZÚT ZRT: SZAKFELÜGYELETI DÍJ</t>
  </si>
  <si>
    <t>Z14/896</t>
  </si>
  <si>
    <t>MONOVIA BT: TÓ U. ÚTALAP ÉPÍTÉS</t>
  </si>
  <si>
    <t>Z14/898</t>
  </si>
  <si>
    <t>SWIETELSKY MAGYARORSZÁG KFT: FENYVES-IVACS ÖSSZZEKÖTŐ ÚT,ELŐD,BÁNKI U. BURKOLAT FELÚJÍTÁS</t>
  </si>
  <si>
    <t>Z14/923</t>
  </si>
  <si>
    <t>B ÉS M ÉPÍTŐ BT: ÖREGHEGYSOR- BÁNKI D.,ELŐD U. ASZFALTOZÁS ELŐKÉSZÍTÉS</t>
  </si>
  <si>
    <t>Z14/929</t>
  </si>
  <si>
    <t>BLOGÉK KFT: RÉT U. ÚTALAP ÉPÍTÉS</t>
  </si>
  <si>
    <t>Z14/930</t>
  </si>
  <si>
    <t>BLOGÉK KFT: FILLÉRT U. ÚTALAP ÉPÍTÉS</t>
  </si>
  <si>
    <t>Z14/943</t>
  </si>
  <si>
    <t>B ÉS M ÉPÍTŐ BT: HOVAL IRODAHÁZ KÖRÜLI TÉRBURKOLATÚ JÁRDA ÉPÍTÉSE</t>
  </si>
  <si>
    <t>Z14/944</t>
  </si>
  <si>
    <t>B ÉS M ÉPÍTŐ BT: FÁCÁN UTCA ÚTALAP ÉPÍTÉS</t>
  </si>
  <si>
    <t>Z14/986</t>
  </si>
  <si>
    <t>B ÉS M ÉPÍTŐ BT: RÖNK U. TÉRBURKOLÁSA</t>
  </si>
  <si>
    <t>Z14/987</t>
  </si>
  <si>
    <t>B ÉS M ÉPÍTŐ BT: HORDÓ U. ÚTALAP ÉPÍTÉSE</t>
  </si>
  <si>
    <t xml:space="preserve">SKS TERV KFT: 28 UTCA TERVEZÉSE </t>
  </si>
  <si>
    <t>EGYÉB TERVEK</t>
  </si>
  <si>
    <t>B14/1422</t>
  </si>
  <si>
    <t xml:space="preserve">NEMZETI KÖZLEKEDÉSI HATÓSÁG: VHÁZ 2102.J.ÚT 23+390KMSZ ÚT ENG. NÉLKÜLI ÉPÍTÉSE            </t>
  </si>
  <si>
    <t>B14/1817</t>
  </si>
  <si>
    <t xml:space="preserve">NEMZETI KÖZLEKEDÉSI HATÓSÁG:  VHÁZ BUDAPESTI-CSOMÁDI ÚT CSP. KÖRFORG. FORG. HELY           </t>
  </si>
  <si>
    <t>Z14/535</t>
  </si>
  <si>
    <t>BLOGÉK KFT: ARANYFORINT U. ÚTALAP ÉPÍTÉS</t>
  </si>
  <si>
    <t xml:space="preserve">EGYÉB SZENNYVÍZCSATORNA ÉPÍTÉS </t>
  </si>
  <si>
    <t>ÓVÁRI LÁSZLÓ: MŰSZAKI ELLENŐRZÉS ÁLOMHEGYI VÍZTÁROZÓ</t>
  </si>
  <si>
    <t xml:space="preserve">ÁLOMHEGYI VÍZTÁROZÓ ZSILIP MŰTÁRGY, GÁT ÉPÍTÉS </t>
  </si>
  <si>
    <t xml:space="preserve">JUKO KFT: ATTILA U. KÖZVILÁGÍTÁSI HÁLÓZAT BŐVÍTÉS </t>
  </si>
  <si>
    <t>EGYÉB VILLANYHÁLÓZAT ÉPÍTÉS</t>
  </si>
  <si>
    <t>JUKO KFT: KÖZVILÁGÍTÁSI LÁMPATESTEK FELSZERELÉSE</t>
  </si>
  <si>
    <t xml:space="preserve">JUKO KFT: BÁNÓCZI U. KÖZVILÁGÍTÁSI LÁMPASZERELÉS </t>
  </si>
  <si>
    <t>Z14/878</t>
  </si>
  <si>
    <t>JUKO KFT: KERTÉSZ U. KÖZVILÁGÍTÁSI LÁMPATESTEK BESZERZÉSE</t>
  </si>
  <si>
    <t>Z14/876</t>
  </si>
  <si>
    <t>JUKO KFT: EGRESSY BÉNI U. KÖZVILÁGÍTÁSI HÁLÓLZAT BŐVÍTÉS</t>
  </si>
  <si>
    <t>Z14/901</t>
  </si>
  <si>
    <t>JUKO KFT: TÓ U. KÖZVILÁGÍTÁSI HÁLÓZAT BŐVÍTÉS</t>
  </si>
  <si>
    <t>Z14/905</t>
  </si>
  <si>
    <t>JUKO KFT: VICZIÁN U. 20 KV-OS SZABADVEZETÉK KIVITELI TERV</t>
  </si>
  <si>
    <t>Z14/909</t>
  </si>
  <si>
    <t>JUKO, KERTÉSZ U. KÖZVILÁGÍTÁSI HÁLÓZAT BŐVÍTÉS</t>
  </si>
  <si>
    <t xml:space="preserve"> JUKO KFT:KÖZVILÁGÍTÁSI LÁMPATESTEK FELSZERELÉSE   </t>
  </si>
  <si>
    <t xml:space="preserve"> JUKO KFT:EGRESSY BÉNI U. KÖZVILÁGÍTÁS BŐVÍTÉS</t>
  </si>
  <si>
    <t>JUKO KFT:ERKEL FERENC U. 9170HRSZ ZSÁKUTCA KÖZVIL.BŐVÍTÉS</t>
  </si>
  <si>
    <t>JUKO KFT: ÜNNEPI DÍSZVILÁGÍTÁS BŐVÍTÉS</t>
  </si>
  <si>
    <t>Z14/981</t>
  </si>
  <si>
    <t>EGYÉB CSAPADÉK CSATORNA ÉPÍTÉS</t>
  </si>
  <si>
    <t>Z14/598</t>
  </si>
  <si>
    <t>Z14/599</t>
  </si>
  <si>
    <t>Z14/600</t>
  </si>
  <si>
    <t>Z14/601</t>
  </si>
  <si>
    <t>Z14/800</t>
  </si>
  <si>
    <t>Z14/799</t>
  </si>
  <si>
    <t>Z14/833</t>
  </si>
  <si>
    <t>B ÉS M ÉPÍTŐ BT: ÓVODA UTCA TÉRKÖVEZÉS ÉS CSAPADÉKELVEZETÉS</t>
  </si>
  <si>
    <t>Z14/859</t>
  </si>
  <si>
    <t>MONOVIA BT: KARACS TERÉZ U. CSAPADÉKCSATORNA ÉS BEHAJTÓK ÉPÍTÉSE (RÁDAY - VÁSÁRHELYI UTCÁK KÖZÖTT)</t>
  </si>
  <si>
    <t>Z14/868</t>
  </si>
  <si>
    <t>BLOGÉK KFT: ARANYFORINT U.,DUKÁT U. CSAPADÉKVÍZ ELVEZETŐ RENDSZER ÉPÍTÉS</t>
  </si>
  <si>
    <t>Z14/1009</t>
  </si>
  <si>
    <t>MONOVIA BT: PATAK KÖZ CSAPADÉKCSATORNA ÉPÍTÉS</t>
  </si>
  <si>
    <t>Z14/403</t>
  </si>
  <si>
    <t xml:space="preserve">NO-LA BT: 12DB KÖZKÚT VÍZÓRA FELSZERELÉS,BETON VÍZÓRAAKNÁVAL,BEKÖTÉS   </t>
  </si>
  <si>
    <t>Z14/787</t>
  </si>
  <si>
    <t>FALCON POOL SECURITY KFT: MOBILKAMERÁK SZERELÉSE, VÁSÁRLÁSA TÉRIFGYELŐ RENDSZERHEZ</t>
  </si>
  <si>
    <t>Z14/796</t>
  </si>
  <si>
    <t>FALCON POOL SECURITY KFT: RÉGI TÉRFIGYELŐ KAMERÁK CSERÉJE, RENDŐRSÉGRE BESZERELÉSE</t>
  </si>
  <si>
    <t>Z14/877</t>
  </si>
  <si>
    <t>EPOSZ KFT: VERESEGYHÁZ-IVACS ÁLLOMÁSOK KÖZÖTTI TELEKOMMUNIKÁCIÓS RENDSZER KIÉPÍTÉS</t>
  </si>
  <si>
    <t xml:space="preserve"> 25269 14 T14/1915</t>
  </si>
  <si>
    <t>0535522</t>
  </si>
  <si>
    <t>B14/1636</t>
  </si>
  <si>
    <t>Z14/857</t>
  </si>
  <si>
    <t>HÓBOR TIBOR: STRANDFÜRDŐ PROJEKT GEODÉZIAI MUNKÁK</t>
  </si>
  <si>
    <t>Z14/1003</t>
  </si>
  <si>
    <t xml:space="preserve"> VERESEGYHÁZI VÁROSFEJLESZTŐ KFT:  TERMÁL ÉS GYÓGYFÜRDŐ SZAKTANÁCSADÓI FELADATOK          </t>
  </si>
  <si>
    <t>MEDVEOTTHON BŐVÍTÉS</t>
  </si>
  <si>
    <t>Z14/860</t>
  </si>
  <si>
    <t>NO-LA BT: MEDVEOTTHON FARKAS KIFUTÓ VÍBEKÖTÉS</t>
  </si>
  <si>
    <t>Z14/989</t>
  </si>
  <si>
    <t>DOBOS ÉS IVÁCSON ÉPÍTŐMESTER KFT: MEDVEFARM KÜLSŐ KERÍTÉS 6DB NYÍLÓKAPU ELKÉSZÍTÉSE ÉS SZERELÉSE</t>
  </si>
  <si>
    <t>240- KÖLTSÉGEK</t>
  </si>
  <si>
    <t>ÚJ KATOLIKUS TEMPLOM ÉPÍTÉSE (TERVEK ÉS KIVITELEZÉS)</t>
  </si>
  <si>
    <t>T 14 1275</t>
  </si>
  <si>
    <t xml:space="preserve"> KÖZBESZERZ.HATÓSÁG:9067/2014 KATOLIKUS TEMPLOM KIVTELI TERVE </t>
  </si>
  <si>
    <t xml:space="preserve">CSÍKY ÉS TÁRSA KKT: KÖZBESZERZÉSI TANÁCSADÓI TEVÉKENYSÉG F.J. ÁLT.ISK. EMELETRÁÉPÍTÉS ÉS FELÚJÍTÁS </t>
  </si>
  <si>
    <t xml:space="preserve">CSÍKY ÉS TÁRSA KKT: MŰSZAKI ELLENŐRZÉS F.J.ÁLT ISK. EMELETRÁÉPÍTÉS ÉS FELÚJÍTÁS </t>
  </si>
  <si>
    <t>Z14/805</t>
  </si>
  <si>
    <t>Z14/797</t>
  </si>
  <si>
    <t>25270 14 T14/1916</t>
  </si>
  <si>
    <t xml:space="preserve">KÖZBESZERZÉSI HATÓSÁG: FABRICZIUS JÓZSEF ÁLTALÁNOS ISKOLA FELÚJÍTÉSA ÉS EMELETRÁÉP. </t>
  </si>
  <si>
    <t>Z14/874</t>
  </si>
  <si>
    <t>DMRV ZRT: F.J. ÁLT ISK.BŐVÍTÉSÉNÉL KÖZÜLETI VÍZBEKÖTÉS</t>
  </si>
  <si>
    <t>24171 14 T14/1581</t>
  </si>
  <si>
    <t>KÖZBESZERZÉSI HATÓSÁG KÖZZÉTÉTELI DÍJ KÁLVIN TÉRI REFORMÁTUS ISKOLA 4 TER. BŐVÍTÉS</t>
  </si>
  <si>
    <t>EGYMI ISKOLA 038602</t>
  </si>
  <si>
    <t>felújítás</t>
  </si>
  <si>
    <t>Módosított előirányzat 2013.09.30.</t>
  </si>
  <si>
    <t>COFOG ÖSSZESEN  MÓDOSÍTOTT 2013.06.28. KÖTELEZŐ</t>
  </si>
  <si>
    <t>Verseegyházi Polgármesteri Hivatal KORMÁNYZATI FUNKCIÓ ÖSSZESEN</t>
  </si>
  <si>
    <t>KISÉRTÉKŰ SZELLEMI TERMÉK</t>
  </si>
  <si>
    <t>KISÉRTÉKŰ EGYÉB GÉP, BERENDEZÉS</t>
  </si>
  <si>
    <t>B14/370</t>
  </si>
  <si>
    <t>KÁNA-ÁN KFT:  SONY XPERI Z1 TELEFON VÁSÁRLÁS GARAI TAMÁS RÉSZÉRE</t>
  </si>
  <si>
    <t>Z14/146</t>
  </si>
  <si>
    <t>NO-LA BT: POLGÁRMESTERI HIVATAL RÉSZRE 5DB MOSDÓCSAP ÉS 1 DB MOSOGATÓ BESZERZÉSE</t>
  </si>
  <si>
    <t>P14/206</t>
  </si>
  <si>
    <t xml:space="preserve">TRANS-RED 42 KFT:   YAMAHA GEAR MOTOR VÁSÁRLÁS PRENNER GÁBOR          </t>
  </si>
  <si>
    <t>Z14/102</t>
  </si>
  <si>
    <t>KISÉRTÉKŰ INF.ESZK.</t>
  </si>
  <si>
    <t>FALCON-POOL SECURITY KFT: POLGÁRMESTERI HIVATAL PÉNZTÁRÁBA KAMERARENDSZER TELEPÍTÉSE</t>
  </si>
  <si>
    <t xml:space="preserve">031030 KÖZTERÜLET </t>
  </si>
  <si>
    <t>P14/245</t>
  </si>
  <si>
    <t xml:space="preserve"> MEDIA MARKT PÓLUS CENTER KFT:  KÖZTER.FELÜGY. ÁLTAL HASZN. NIKON FÉNYKÉPEZŐGÉP VÁSÁRLÁSA</t>
  </si>
  <si>
    <t>EGYÉB</t>
  </si>
  <si>
    <t>VERESEGYHÁZ VÁROS ÖNKORMÁNYZAT TERVEZETT FELÚJÍTÁSI FELADAT 2014. ÉV</t>
  </si>
  <si>
    <t>COFOG ÖSSZESEN MÓDOSÍTOTT 2014.06.30. ÖNKÉNT VÁLLALT</t>
  </si>
  <si>
    <t>COFOG ÖSSZESEN  MÓDOSÍTOTT 2014.06.30. KÖTELEZŐ</t>
  </si>
  <si>
    <t>Szakfeladat összesen MÓDOSÍTOTT 2014.12.31. KÖTELEZŐ</t>
  </si>
  <si>
    <t>0571233</t>
  </si>
  <si>
    <t>ILLÉSMESTER KFT: REFORMÁTUS TEMETŐ RAVATALOZÓ BŐVÍTÉSE ÉS VÉDŐTETŐ ÉPÍTÉSE</t>
  </si>
  <si>
    <t xml:space="preserve">REGIOPLAN 71 KFT: REFORMÁTUS TEMETŐ KIVITELEZÉS MŰSZAKI FELÜGYELETE TANÁCSADÁS </t>
  </si>
  <si>
    <t>Z14/802</t>
  </si>
  <si>
    <t>Z14/801</t>
  </si>
  <si>
    <t>ILLÉSMESTER KFT: REFORMÁTUS TEMETŐ RAVATALOZÓ MÓDOSÍTOTT FEDVÉNYTERV SZERINTI KIVITELEZÉS - ÁCSMUNKÁK</t>
  </si>
  <si>
    <t>Z14/803</t>
  </si>
  <si>
    <t>ILLÉSMESTER KFT: REF.RAVATALOZÓ TERASZ FEDVÉNYTERV KIVITELEZÉS TERASZBURKOLAT</t>
  </si>
  <si>
    <t>Z14/1004</t>
  </si>
  <si>
    <t>ILLÉSMESTER KFT: REF TEMETŐ RAVATALOZÓ TETŐSZERKEZET-VÉDŐTETŐ ÖSSZEKAPCSOLÁSA</t>
  </si>
  <si>
    <t>KATOLIKUS RAVATALOZÓ FELÚJÍTÁSA</t>
  </si>
  <si>
    <t>057321</t>
  </si>
  <si>
    <t>EGYÉB GÉP,BEREND.015700</t>
  </si>
  <si>
    <t>SZIVATTYÚ FELÚJÍTÁS</t>
  </si>
  <si>
    <t>057124</t>
  </si>
  <si>
    <t>DMRV ZRT: 17-ES SZENNYVÍZÁTEMELŐ SZIVATTYÚ FELÚJÍTÁS</t>
  </si>
  <si>
    <t>Z14/871</t>
  </si>
  <si>
    <t>DMRV ZRT: 16-OS SZENNYVÍZÁTEMELŐ SZIVATTYÚ BESZERZÉSE</t>
  </si>
  <si>
    <t>Z14/872</t>
  </si>
  <si>
    <t>DMRV ZRT: VERESEGYHÁZ V 34-ES SZENNYVÍZÁTEMELŐ SZIVATTYÚ BESZERZÉSE</t>
  </si>
  <si>
    <t>Z14/873</t>
  </si>
  <si>
    <t>DMRV ZRT: 46-OS SZENNYVÍZÁTEMELŐ SZIVATTYÚ BESZERZÉSE</t>
  </si>
  <si>
    <t xml:space="preserve">0571233      </t>
  </si>
  <si>
    <t xml:space="preserve"> SIMON ANNA:RK TEMPL.ÉPÍTÉSTÖRTÉNETI DOKUMENTÁCIÓ,ÉRTÉKLELTÁR, BELSŐ SZONDÁZÓ FALKUTATÁS</t>
  </si>
  <si>
    <t xml:space="preserve">FODOR EDINA: RK TEMPLOM FESTŐ- RESTAURÁTORI FALKUTATÁS ÉS RONCSOLÁSOS VIZSGÁLATOK </t>
  </si>
  <si>
    <t>TÁJHÁZ REKONSTRUKCIÓ</t>
  </si>
  <si>
    <t>0533629</t>
  </si>
  <si>
    <t xml:space="preserve">NAGY LÁSZLÓ: VÁCI MIHÁLY MŰVELŐDÉSI HÁZ FELÚJÍTÁSI ENGDÉLYEZÉSI TERVEK ELKÉSZÍTÉSE </t>
  </si>
  <si>
    <t xml:space="preserve">PROFI ABLAKCSERE KFT: VÁCI MIHÁLY MŰVELŐDÉSI HÁZ KÖVES U. 14. SZÍNHÁZTEREM NYÍLÁSZÁRÓ CSERE ÉS BEÉPÍTÉS </t>
  </si>
  <si>
    <t xml:space="preserve">SZÉPFAKER KFT: VÁCI MIHÁLY MŰVELŐDÉSI HÁZ KÖVES U. 14. SZÍNHÁZTEREM BEJÁRATI ÉS ELŐTER AJTÓ CSERE </t>
  </si>
  <si>
    <t>Z14/804</t>
  </si>
  <si>
    <t>CONCORDE BAU KFT: VÁCI MIHÁLY MŰV.HÁZ TETŐJAVÍTÁS,FELÚJÍTÁS</t>
  </si>
  <si>
    <t xml:space="preserve">CSÍKY ÉS TÁRSA KKT: MŰSZAKI ELLENŐRZÉS RÓMAI KATOLIKUS TEMPLOM FELÚJÍTÁSA </t>
  </si>
  <si>
    <t xml:space="preserve">BEDŐ CSONGOR LÁSZLÓ: RÓMAI KATOLIKUS TEMPLOM FASZOBRÁSZATI RESTAURÁLÁS </t>
  </si>
  <si>
    <t xml:space="preserve">FEJES ATTILA: RÓMAI KATOLIKUS TEMPLOM ÓLOMÜVEGEK RESTAURÁLÁSA </t>
  </si>
  <si>
    <t xml:space="preserve">EPU FA-KŐ RESTAURÁTOR- MŰVÉSZ KFT: RÓMAI KATOLIKUS TEMPLOM KŐRESTAURÁTORI MUNKÁK KIVITELEZÉSE </t>
  </si>
  <si>
    <t xml:space="preserve">FODOR EDINA: RÓMAI KATOLIKUS TEMPLOM BELSŐ FALFELÜLET, FŐOLTÁR RESTAURÁLÁS </t>
  </si>
  <si>
    <t xml:space="preserve">RÓMAI KATOLIKUS TEMPLOM EGYÉB ÁTALAKÍTÁS </t>
  </si>
  <si>
    <t>z14/766</t>
  </si>
  <si>
    <t xml:space="preserve">CONCORDE BAU KFT: A PIROS ÓVODA FÖDÉMGERENDA MEGERŐSÍTÉSÉNEK PÓTMUNKÁLATAI     </t>
  </si>
  <si>
    <t xml:space="preserve">LENGYEL ISTVÁN: FABRICZIUS JÓZSEF ÁLTALÁNOS ISKOLA VILÁGÍTÁS KORSZERŰSÍTÉS </t>
  </si>
  <si>
    <t>Nyilvánosság biztosítása, kommunikációs szolgáltatás</t>
  </si>
  <si>
    <t xml:space="preserve">Iktató rendszer oktatás, </t>
  </si>
  <si>
    <t>informatikabiztonság szolgáltatás</t>
  </si>
  <si>
    <t xml:space="preserve">Veresegyház - a 15 éves város könyv beszerzése </t>
  </si>
  <si>
    <t xml:space="preserve">Veresegyház kiadvány beszerzése </t>
  </si>
  <si>
    <t xml:space="preserve">Terembérletek </t>
  </si>
  <si>
    <t xml:space="preserve">Személyszálítás </t>
  </si>
  <si>
    <t>Vendéglátás</t>
  </si>
  <si>
    <t>Medveotthon belépőjegyek vásárlása</t>
  </si>
  <si>
    <t>(bruttó)</t>
  </si>
  <si>
    <t>Veresegyház és Vidéke Takarékszövetkezet 100 millió</t>
  </si>
  <si>
    <t>Veresegyház és Vidéke Takarékszövetkezet új rulír</t>
  </si>
  <si>
    <t>TRAVILL  2014.évi 1.110 millió</t>
  </si>
  <si>
    <t>Intézmény</t>
  </si>
  <si>
    <t>Költségvetési intézmények tervezett beruházási feladat 2014.év</t>
  </si>
  <si>
    <t>INTÉZMÉNY ÖSSZESEN</t>
  </si>
  <si>
    <t>SP- 90 Franklinmotor felújítása (Hévízkút)</t>
  </si>
  <si>
    <t>SP 160/4 Franklinmotor felújítás (Hévízkút)</t>
  </si>
  <si>
    <t>Búvár Rakatcső felújítása (Hévízkút)</t>
  </si>
  <si>
    <t>081030</t>
  </si>
  <si>
    <t>Uszoda felújítása</t>
  </si>
  <si>
    <t>082080</t>
  </si>
  <si>
    <t>kisvasút, villanypásztor felújítása (Medveotthon)</t>
  </si>
  <si>
    <t>066020</t>
  </si>
  <si>
    <t>kisteherautó plató felújítása</t>
  </si>
  <si>
    <t>092120</t>
  </si>
  <si>
    <t>Fabriczius József Általános Iskola belső felújítása (szekrényajtók, információs táblák)</t>
  </si>
  <si>
    <t>091240</t>
  </si>
  <si>
    <t>Hangszerek felújítása</t>
  </si>
  <si>
    <t>091140</t>
  </si>
  <si>
    <t>PVC burkolat cseréje</t>
  </si>
  <si>
    <t>104030</t>
  </si>
  <si>
    <t>Meseliget Bölcsőde</t>
  </si>
  <si>
    <t>Meseliget Bölcsőde régi épületrész folyósóinak és konyhájának tisztasági festése</t>
  </si>
  <si>
    <t xml:space="preserve">Sószoba funkcionális felújítása </t>
  </si>
  <si>
    <t>086020</t>
  </si>
  <si>
    <t>Váci Mihály Művelődési Ház</t>
  </si>
  <si>
    <t>Köves utcai épület felújítási munkálatai</t>
  </si>
  <si>
    <t>Fürdőszoba felújítás</t>
  </si>
  <si>
    <t>Költségvetési intézmények Tervezett  felújítások összesen</t>
  </si>
  <si>
    <t>FELÚJÍTÁSOK VÁROS ÖSSZESEN</t>
  </si>
  <si>
    <t>Módosított előirányzat 201412.31. összesen</t>
  </si>
  <si>
    <t xml:space="preserve">BRUTTÓ TELJESÍTÉS 2014.12.31 </t>
  </si>
  <si>
    <t>BRUTTÓ TELJESÍTÉS 2014.12.31</t>
  </si>
  <si>
    <t>adatok ezer Ft-ban</t>
  </si>
  <si>
    <t>14.3. melléklet</t>
  </si>
  <si>
    <t>Murvai Károlyné Veresegyház és Vidéke Takszöv. (lejárat 2015.09.11.)</t>
  </si>
  <si>
    <t>Matyéka Andrásné Veresegyház és Vidéke Takszöv. (lejárat 2015.09.04.)</t>
  </si>
  <si>
    <t xml:space="preserve">Társulásnak és költségvetési szervének nyújtott működési támogatás - Kistérségi társulás és Csatorna Társulás támogatása </t>
  </si>
  <si>
    <t>Szakfeladat összesen MÓDOSÍTOTT 2014.09.30. ÖNKÉNT VÁLLALT</t>
  </si>
  <si>
    <t>092 120 Köznevelési intézmény 5-8. évfolyamán tanulók nevelésével, oktatásával összefüggő működtetési fea.</t>
  </si>
  <si>
    <t>RK.TEMPLOM 018300</t>
  </si>
  <si>
    <t>RK.TEMPLOM 018700</t>
  </si>
  <si>
    <t>folyószámla hitel egyenlege éven túli hitelként könyvelve</t>
  </si>
  <si>
    <t>074031+091240+013360+013360</t>
  </si>
  <si>
    <t>4 db számítógép beszerzése  175+189+289 / 47+51+78</t>
  </si>
  <si>
    <t xml:space="preserve">egyéb kisértékű informatikai eszközök (pl. nyomtatók, hálózati eszközök) </t>
  </si>
  <si>
    <t>Zeneiskola</t>
  </si>
  <si>
    <t>kisértékű informatikai eszközök</t>
  </si>
  <si>
    <t>900090</t>
  </si>
  <si>
    <t>Hévízkút</t>
  </si>
  <si>
    <t>Város és községgazd</t>
  </si>
  <si>
    <t>013360</t>
  </si>
  <si>
    <t>Más szerv részére</t>
  </si>
  <si>
    <t>Medve</t>
  </si>
  <si>
    <t>Fő úti iskola</t>
  </si>
  <si>
    <t>091220</t>
  </si>
  <si>
    <t>Mézesvölgyi iskola</t>
  </si>
  <si>
    <t>074031</t>
  </si>
  <si>
    <t>Védőnő</t>
  </si>
  <si>
    <t>096020</t>
  </si>
  <si>
    <t>Iskola konyha</t>
  </si>
  <si>
    <t>2 db 100 m MT 5*10 kábel</t>
  </si>
  <si>
    <t>1 db aggregátor 7KW-os</t>
  </si>
  <si>
    <t>066020+ 066010</t>
  </si>
  <si>
    <t>2 db platós duplakabinos kisteherautó 980+3990 / 265+1077</t>
  </si>
  <si>
    <t>1 db ételszállító zárt kisteherautó</t>
  </si>
  <si>
    <t>1 db úthenger</t>
  </si>
  <si>
    <t>066010</t>
  </si>
  <si>
    <t>2 db fűkasza</t>
  </si>
  <si>
    <t>1 db gallyaprító</t>
  </si>
  <si>
    <t xml:space="preserve">1 db fűnyírótraktor </t>
  </si>
  <si>
    <t xml:space="preserve">1 db benzinmotoros ágvágó </t>
  </si>
  <si>
    <t>042220</t>
  </si>
  <si>
    <t>2 db szolgálati fegyver  mezőőrök</t>
  </si>
  <si>
    <t>1 db projektor  védőnői szolgálat</t>
  </si>
  <si>
    <t>Játszótéri medve szobrok készítése</t>
  </si>
  <si>
    <t xml:space="preserve">kisértékű gépek, szerszámok </t>
  </si>
  <si>
    <t xml:space="preserve">kisértékű konyhai eszközök </t>
  </si>
  <si>
    <t xml:space="preserve">egyéb kisértékű eszközök, berendezési tárgyak </t>
  </si>
  <si>
    <t>Zöldterület</t>
  </si>
  <si>
    <t>081061</t>
  </si>
  <si>
    <t>Strand</t>
  </si>
  <si>
    <t>091220+091211</t>
  </si>
  <si>
    <t>Sportlétesítmény</t>
  </si>
  <si>
    <t>051020</t>
  </si>
  <si>
    <t>Település tiszt</t>
  </si>
  <si>
    <t>031030</t>
  </si>
  <si>
    <t>Városőrség</t>
  </si>
  <si>
    <t>047120</t>
  </si>
  <si>
    <t>Piac</t>
  </si>
  <si>
    <t>Erdőgazdálkodás</t>
  </si>
  <si>
    <t>096010</t>
  </si>
  <si>
    <t>kisértékű eszközök, berendezési tárgyak</t>
  </si>
  <si>
    <t>2 db számítógép beszerzése</t>
  </si>
  <si>
    <t>egyéb kisértékű eszközök, berendezési tárgyak</t>
  </si>
  <si>
    <t>központi nagy teljesítményű nyomtató beszerzése</t>
  </si>
  <si>
    <t>új sószoba kialakítása</t>
  </si>
  <si>
    <t>082091</t>
  </si>
  <si>
    <t>kisértékű kommunikációs eszközök</t>
  </si>
  <si>
    <t>082042</t>
  </si>
  <si>
    <t>Kölcsey Ferenc Könyvtár</t>
  </si>
  <si>
    <t>Könyvek</t>
  </si>
  <si>
    <t>082044</t>
  </si>
  <si>
    <t>Eszközök beszerzése (vegyszeradagoló, szivattyú)</t>
  </si>
  <si>
    <t>Költségvetési intézmények Tervezett  beruházások összesen</t>
  </si>
  <si>
    <t>EGYÉB KIÉPÍTÉS</t>
  </si>
  <si>
    <t>adatok ezer forintban</t>
  </si>
  <si>
    <t>BERUHÁZÁSOK VÁROS ÖSSZESEN</t>
  </si>
  <si>
    <t>Módosított előirányzat 2014.12.31. összesen</t>
  </si>
  <si>
    <t>Veresegyház Város Önkormányzata</t>
  </si>
  <si>
    <t>BERUHÁZÁS VÁROS ÖSSZESEN</t>
  </si>
  <si>
    <t xml:space="preserve">10.7. melléklet </t>
  </si>
  <si>
    <t>B14. Működési célú visszatérítendő támogatások, kölcsönök visszatérülése államháztartáson belülről</t>
  </si>
  <si>
    <t xml:space="preserve">     10.8. melléklet</t>
  </si>
  <si>
    <t>Társulás 2013.évi elszámolása</t>
  </si>
  <si>
    <t>10.9. melléklet</t>
  </si>
  <si>
    <t>Óvoda egyéb támogatás</t>
  </si>
  <si>
    <t xml:space="preserve">10.10. melléklet </t>
  </si>
  <si>
    <t xml:space="preserve">      10.12. melléklet</t>
  </si>
  <si>
    <t>Költségvetési szervek</t>
  </si>
  <si>
    <t>Tartásdíj</t>
  </si>
  <si>
    <t>Gamesz, Művelődési Ház</t>
  </si>
  <si>
    <t>11.4. melléklet</t>
  </si>
  <si>
    <t>11.5. melléklet</t>
  </si>
  <si>
    <t>11.6. melléklet</t>
  </si>
  <si>
    <t>K502. Elvonások és befizetések</t>
  </si>
  <si>
    <t>Meseliget Bölcsöde</t>
  </si>
  <si>
    <t xml:space="preserve">10.13. melléklet </t>
  </si>
  <si>
    <t xml:space="preserve">      10.14. melléklet</t>
  </si>
  <si>
    <t xml:space="preserve">      10.15. melléklet</t>
  </si>
  <si>
    <t>10.16. melléklet</t>
  </si>
  <si>
    <t>10.17. melléklet</t>
  </si>
  <si>
    <t>10.18. melléklet</t>
  </si>
  <si>
    <t>11.1. melléklet</t>
  </si>
  <si>
    <t>11.2. melléklet</t>
  </si>
  <si>
    <t>11.3. melléklet</t>
  </si>
  <si>
    <t>11.7. melléklet</t>
  </si>
  <si>
    <t>11.8. melléklet</t>
  </si>
  <si>
    <t>11.9. melléklet</t>
  </si>
  <si>
    <t>12.2.sz. melléklet</t>
  </si>
  <si>
    <t>13.2. melléklet</t>
  </si>
  <si>
    <t>13.3. melléklet</t>
  </si>
  <si>
    <t>14. melléklet</t>
  </si>
  <si>
    <t xml:space="preserve">16. melléklet </t>
  </si>
  <si>
    <t xml:space="preserve">  17. melléklet </t>
  </si>
  <si>
    <t>18. melléklet</t>
  </si>
  <si>
    <t xml:space="preserve">20. melléklet </t>
  </si>
  <si>
    <t>19.1. melléklet</t>
  </si>
  <si>
    <t>19.2. melléklet</t>
  </si>
  <si>
    <t>19.3. melléklet</t>
  </si>
  <si>
    <t>19.4. melléklet</t>
  </si>
  <si>
    <t>19.5. melléklet</t>
  </si>
  <si>
    <t>19.6. melléklet</t>
  </si>
  <si>
    <t>19.7. melléklet</t>
  </si>
  <si>
    <t>19.8. melléklet</t>
  </si>
  <si>
    <t xml:space="preserve">26.1. melléklet </t>
  </si>
  <si>
    <t>26.2. melléklet</t>
  </si>
  <si>
    <t>26.3. melléklet</t>
  </si>
  <si>
    <t>27. mellélet</t>
  </si>
  <si>
    <t xml:space="preserve">28.1. számú melléklet </t>
  </si>
  <si>
    <t xml:space="preserve">28.2. számú melléklet </t>
  </si>
  <si>
    <t xml:space="preserve">28.3. számú melléklet </t>
  </si>
  <si>
    <t>Hitel felvételéből eredő aktuális tőketartozás: likvidhitelből történő átminősítés</t>
  </si>
  <si>
    <t>Mérleg szerinti állomány</t>
  </si>
  <si>
    <t>Nettó állomány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</si>
</sst>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[$€-2]\ #,##0.00"/>
    <numFmt numFmtId="166" formatCode="#,##0_ ;[Red]\-#,##0\ "/>
    <numFmt numFmtId="167" formatCode="yyyy/mm/dd;@"/>
    <numFmt numFmtId="168" formatCode="#,##0_ ;\-#,##0\ "/>
  </numFmts>
  <fonts count="5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7"/>
      <name val="Arial CE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Calibri"/>
      <family val="2"/>
      <charset val="238"/>
    </font>
    <font>
      <b/>
      <u/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6">
    <xf numFmtId="0" fontId="0" fillId="0" borderId="0"/>
    <xf numFmtId="0" fontId="15" fillId="0" borderId="0"/>
    <xf numFmtId="0" fontId="14" fillId="0" borderId="0"/>
    <xf numFmtId="0" fontId="14" fillId="0" borderId="0"/>
    <xf numFmtId="43" fontId="21" fillId="0" borderId="0" applyFont="0" applyFill="0" applyBorder="0" applyAlignment="0" applyProtection="0"/>
    <xf numFmtId="0" fontId="14" fillId="0" borderId="0"/>
    <xf numFmtId="0" fontId="14" fillId="0" borderId="0"/>
    <xf numFmtId="0" fontId="2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4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3">
    <xf numFmtId="0" fontId="0" fillId="0" borderId="0" xfId="0"/>
    <xf numFmtId="0" fontId="0" fillId="0" borderId="0" xfId="0" applyAlignment="1">
      <alignment horizontal="right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 applyBorder="1" applyAlignment="1">
      <alignment vertical="top" wrapText="1"/>
    </xf>
    <xf numFmtId="0" fontId="16" fillId="0" borderId="1" xfId="0" applyFont="1" applyBorder="1"/>
    <xf numFmtId="0" fontId="20" fillId="0" borderId="1" xfId="0" applyFont="1" applyBorder="1"/>
    <xf numFmtId="0" fontId="16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7" fillId="0" borderId="1" xfId="0" applyFont="1" applyBorder="1"/>
    <xf numFmtId="0" fontId="17" fillId="0" borderId="1" xfId="0" applyFont="1" applyBorder="1" applyAlignment="1">
      <alignment vertical="top" wrapText="1"/>
    </xf>
    <xf numFmtId="0" fontId="20" fillId="0" borderId="0" xfId="0" applyFont="1"/>
    <xf numFmtId="0" fontId="20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0" xfId="0" applyFont="1" applyAlignment="1"/>
    <xf numFmtId="0" fontId="27" fillId="0" borderId="5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20" fillId="0" borderId="1" xfId="0" applyFont="1" applyFill="1" applyBorder="1"/>
    <xf numFmtId="0" fontId="20" fillId="0" borderId="0" xfId="0" applyFont="1" applyAlignment="1">
      <alignment horizontal="centerContinuous"/>
    </xf>
    <xf numFmtId="0" fontId="27" fillId="0" borderId="0" xfId="0" applyFont="1"/>
    <xf numFmtId="3" fontId="20" fillId="0" borderId="1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left" vertical="center"/>
    </xf>
    <xf numFmtId="3" fontId="27" fillId="0" borderId="2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vertical="center"/>
    </xf>
    <xf numFmtId="3" fontId="27" fillId="0" borderId="2" xfId="0" applyNumberFormat="1" applyFont="1" applyBorder="1" applyAlignment="1">
      <alignment horizontal="left" vertical="center" wrapText="1"/>
    </xf>
    <xf numFmtId="3" fontId="20" fillId="0" borderId="2" xfId="0" applyNumberFormat="1" applyFont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center" vertical="center"/>
    </xf>
    <xf numFmtId="3" fontId="20" fillId="0" borderId="2" xfId="0" applyNumberFormat="1" applyFont="1" applyBorder="1" applyAlignment="1">
      <alignment horizontal="left" vertical="center"/>
    </xf>
    <xf numFmtId="3" fontId="27" fillId="0" borderId="1" xfId="0" applyNumberFormat="1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3" fontId="27" fillId="0" borderId="5" xfId="0" applyNumberFormat="1" applyFont="1" applyBorder="1" applyAlignment="1">
      <alignment horizontal="right" vertical="center"/>
    </xf>
    <xf numFmtId="0" fontId="0" fillId="0" borderId="0" xfId="0" applyFill="1"/>
    <xf numFmtId="3" fontId="0" fillId="0" borderId="1" xfId="0" applyNumberFormat="1" applyBorder="1"/>
    <xf numFmtId="3" fontId="16" fillId="0" borderId="1" xfId="0" applyNumberFormat="1" applyFont="1" applyBorder="1"/>
    <xf numFmtId="164" fontId="20" fillId="0" borderId="1" xfId="38" applyNumberFormat="1" applyFont="1" applyBorder="1" applyAlignment="1">
      <alignment horizontal="right" vertical="center"/>
    </xf>
    <xf numFmtId="164" fontId="20" fillId="0" borderId="2" xfId="38" applyNumberFormat="1" applyFont="1" applyBorder="1" applyAlignment="1">
      <alignment horizontal="right" vertical="center"/>
    </xf>
    <xf numFmtId="164" fontId="27" fillId="0" borderId="2" xfId="38" applyNumberFormat="1" applyFont="1" applyBorder="1" applyAlignment="1">
      <alignment horizontal="right" vertical="center"/>
    </xf>
    <xf numFmtId="3" fontId="20" fillId="0" borderId="2" xfId="0" applyNumberFormat="1" applyFont="1" applyBorder="1" applyAlignment="1">
      <alignment horizontal="right" vertical="center"/>
    </xf>
    <xf numFmtId="3" fontId="27" fillId="0" borderId="2" xfId="0" applyNumberFormat="1" applyFont="1" applyBorder="1" applyAlignment="1">
      <alignment horizontal="right" vertical="center" wrapText="1"/>
    </xf>
    <xf numFmtId="3" fontId="27" fillId="0" borderId="11" xfId="0" applyNumberFormat="1" applyFont="1" applyBorder="1" applyAlignment="1">
      <alignment horizontal="right" vertical="center" wrapText="1"/>
    </xf>
    <xf numFmtId="3" fontId="20" fillId="0" borderId="1" xfId="0" applyNumberFormat="1" applyFont="1" applyBorder="1" applyAlignment="1">
      <alignment horizontal="right" vertical="center"/>
    </xf>
    <xf numFmtId="3" fontId="27" fillId="0" borderId="1" xfId="0" applyNumberFormat="1" applyFont="1" applyBorder="1" applyAlignment="1">
      <alignment horizontal="right" vertical="center"/>
    </xf>
    <xf numFmtId="3" fontId="27" fillId="0" borderId="2" xfId="0" applyNumberFormat="1" applyFont="1" applyBorder="1" applyAlignment="1">
      <alignment horizontal="right" vertical="center"/>
    </xf>
    <xf numFmtId="3" fontId="27" fillId="0" borderId="1" xfId="0" applyNumberFormat="1" applyFont="1" applyBorder="1" applyAlignment="1">
      <alignment horizontal="right" vertical="center" wrapText="1"/>
    </xf>
    <xf numFmtId="3" fontId="27" fillId="2" borderId="1" xfId="0" applyNumberFormat="1" applyFont="1" applyFill="1" applyBorder="1" applyAlignment="1">
      <alignment horizontal="right" vertical="center"/>
    </xf>
    <xf numFmtId="3" fontId="27" fillId="0" borderId="1" xfId="0" applyNumberFormat="1" applyFont="1" applyBorder="1" applyAlignment="1">
      <alignment vertical="center"/>
    </xf>
    <xf numFmtId="3" fontId="20" fillId="0" borderId="2" xfId="0" applyNumberFormat="1" applyFont="1" applyBorder="1" applyAlignment="1">
      <alignment horizontal="right" vertical="center" wrapText="1"/>
    </xf>
    <xf numFmtId="0" fontId="27" fillId="0" borderId="1" xfId="0" applyFont="1" applyBorder="1" applyAlignment="1">
      <alignment horizontal="center" vertical="center" wrapText="1"/>
    </xf>
    <xf numFmtId="0" fontId="0" fillId="0" borderId="1" xfId="0" applyBorder="1"/>
    <xf numFmtId="0" fontId="31" fillId="0" borderId="8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3" fontId="27" fillId="0" borderId="0" xfId="0" applyNumberFormat="1" applyFont="1" applyBorder="1" applyAlignment="1">
      <alignment horizontal="right" vertical="center"/>
    </xf>
    <xf numFmtId="3" fontId="20" fillId="0" borderId="5" xfId="0" applyNumberFormat="1" applyFont="1" applyFill="1" applyBorder="1" applyAlignment="1">
      <alignment horizontal="right" vertical="center"/>
    </xf>
    <xf numFmtId="0" fontId="29" fillId="0" borderId="1" xfId="77" applyFont="1" applyBorder="1" applyAlignment="1">
      <alignment horizontal="center" vertical="center"/>
    </xf>
    <xf numFmtId="0" fontId="29" fillId="0" borderId="1" xfId="77" applyFont="1" applyBorder="1" applyAlignment="1">
      <alignment horizontal="center" vertical="center" wrapText="1"/>
    </xf>
    <xf numFmtId="0" fontId="28" fillId="0" borderId="1" xfId="77" applyFont="1" applyBorder="1" applyAlignment="1">
      <alignment vertical="center" wrapText="1"/>
    </xf>
    <xf numFmtId="0" fontId="22" fillId="0" borderId="1" xfId="77" applyFont="1" applyBorder="1" applyAlignment="1">
      <alignment horizontal="center" vertical="center"/>
    </xf>
    <xf numFmtId="0" fontId="25" fillId="0" borderId="1" xfId="77" applyFont="1" applyBorder="1" applyAlignment="1">
      <alignment vertical="center" wrapText="1"/>
    </xf>
    <xf numFmtId="0" fontId="23" fillId="0" borderId="0" xfId="77" applyAlignment="1">
      <alignment vertical="center" wrapText="1"/>
    </xf>
    <xf numFmtId="0" fontId="23" fillId="0" borderId="0" xfId="77" applyAlignment="1">
      <alignment horizontal="left" vertical="center" wrapText="1"/>
    </xf>
    <xf numFmtId="0" fontId="47" fillId="0" borderId="1" xfId="0" applyFont="1" applyBorder="1" applyAlignment="1">
      <alignment vertical="center" wrapText="1"/>
    </xf>
    <xf numFmtId="0" fontId="40" fillId="0" borderId="0" xfId="61" applyFont="1"/>
    <xf numFmtId="0" fontId="7" fillId="0" borderId="0" xfId="61"/>
    <xf numFmtId="0" fontId="39" fillId="0" borderId="0" xfId="61" applyFont="1"/>
    <xf numFmtId="14" fontId="28" fillId="0" borderId="22" xfId="57" applyNumberFormat="1" applyFont="1" applyFill="1" applyBorder="1" applyAlignment="1">
      <alignment horizontal="center" vertical="center" wrapText="1"/>
    </xf>
    <xf numFmtId="3" fontId="28" fillId="0" borderId="23" xfId="57" applyNumberFormat="1" applyFont="1" applyFill="1" applyBorder="1" applyAlignment="1">
      <alignment horizontal="center" vertical="center" wrapText="1"/>
    </xf>
    <xf numFmtId="1" fontId="28" fillId="0" borderId="21" xfId="57" applyNumberFormat="1" applyFont="1" applyFill="1" applyBorder="1" applyAlignment="1">
      <alignment horizontal="center" vertical="center" wrapText="1"/>
    </xf>
    <xf numFmtId="14" fontId="28" fillId="0" borderId="35" xfId="57" applyNumberFormat="1" applyFont="1" applyFill="1" applyBorder="1" applyAlignment="1">
      <alignment vertical="center"/>
    </xf>
    <xf numFmtId="3" fontId="28" fillId="0" borderId="28" xfId="57" applyNumberFormat="1" applyFont="1" applyFill="1" applyBorder="1" applyAlignment="1">
      <alignment vertical="center"/>
    </xf>
    <xf numFmtId="165" fontId="28" fillId="0" borderId="28" xfId="57" applyNumberFormat="1" applyFont="1" applyFill="1" applyBorder="1" applyAlignment="1">
      <alignment vertical="center" wrapText="1"/>
    </xf>
    <xf numFmtId="14" fontId="28" fillId="0" borderId="28" xfId="57" applyNumberFormat="1" applyFont="1" applyFill="1" applyBorder="1" applyAlignment="1">
      <alignment vertical="center"/>
    </xf>
    <xf numFmtId="3" fontId="28" fillId="0" borderId="19" xfId="57" applyNumberFormat="1" applyFont="1" applyFill="1" applyBorder="1" applyAlignment="1">
      <alignment vertical="center"/>
    </xf>
    <xf numFmtId="14" fontId="28" fillId="0" borderId="27" xfId="57" applyNumberFormat="1" applyFont="1" applyFill="1" applyBorder="1" applyAlignment="1">
      <alignment vertical="center" wrapText="1" shrinkToFit="1"/>
    </xf>
    <xf numFmtId="3" fontId="28" fillId="0" borderId="25" xfId="57" applyNumberFormat="1" applyFont="1" applyFill="1" applyBorder="1" applyAlignment="1">
      <alignment vertical="center"/>
    </xf>
    <xf numFmtId="14" fontId="28" fillId="0" borderId="25" xfId="57" applyNumberFormat="1" applyFont="1" applyFill="1" applyBorder="1" applyAlignment="1">
      <alignment vertical="center"/>
    </xf>
    <xf numFmtId="14" fontId="28" fillId="0" borderId="25" xfId="57" applyNumberFormat="1" applyFont="1" applyFill="1" applyBorder="1" applyAlignment="1">
      <alignment vertical="center" wrapText="1"/>
    </xf>
    <xf numFmtId="14" fontId="28" fillId="0" borderId="24" xfId="57" applyNumberFormat="1" applyFont="1" applyFill="1" applyBorder="1" applyAlignment="1">
      <alignment vertical="center"/>
    </xf>
    <xf numFmtId="14" fontId="28" fillId="0" borderId="19" xfId="57" applyNumberFormat="1" applyFont="1" applyFill="1" applyBorder="1" applyAlignment="1">
      <alignment vertical="center"/>
    </xf>
    <xf numFmtId="3" fontId="28" fillId="0" borderId="36" xfId="57" applyNumberFormat="1" applyFont="1" applyFill="1" applyBorder="1" applyAlignment="1">
      <alignment vertical="center"/>
    </xf>
    <xf numFmtId="3" fontId="28" fillId="0" borderId="20" xfId="57" applyNumberFormat="1" applyFont="1" applyFill="1" applyBorder="1" applyAlignment="1">
      <alignment vertical="center"/>
    </xf>
    <xf numFmtId="3" fontId="29" fillId="0" borderId="23" xfId="57" applyNumberFormat="1" applyFont="1" applyFill="1" applyBorder="1" applyAlignment="1">
      <alignment vertical="center"/>
    </xf>
    <xf numFmtId="14" fontId="28" fillId="0" borderId="23" xfId="57" applyNumberFormat="1" applyFont="1" applyFill="1" applyBorder="1" applyAlignment="1">
      <alignment vertical="center"/>
    </xf>
    <xf numFmtId="14" fontId="29" fillId="0" borderId="23" xfId="57" applyNumberFormat="1" applyFont="1" applyFill="1" applyBorder="1" applyAlignment="1">
      <alignment vertical="center"/>
    </xf>
    <xf numFmtId="3" fontId="29" fillId="0" borderId="21" xfId="57" applyNumberFormat="1" applyFont="1" applyFill="1" applyBorder="1" applyAlignment="1">
      <alignment vertical="center"/>
    </xf>
    <xf numFmtId="3" fontId="28" fillId="0" borderId="19" xfId="55" applyNumberFormat="1" applyFont="1" applyFill="1" applyBorder="1" applyAlignment="1">
      <alignment vertical="center"/>
    </xf>
    <xf numFmtId="14" fontId="28" fillId="0" borderId="19" xfId="55" applyNumberFormat="1" applyFont="1" applyFill="1" applyBorder="1" applyAlignment="1">
      <alignment vertical="center"/>
    </xf>
    <xf numFmtId="3" fontId="28" fillId="0" borderId="20" xfId="55" applyNumberFormat="1" applyFont="1" applyFill="1" applyBorder="1" applyAlignment="1">
      <alignment vertical="center"/>
    </xf>
    <xf numFmtId="1" fontId="28" fillId="0" borderId="39" xfId="55" applyNumberFormat="1" applyFont="1" applyFill="1" applyBorder="1" applyAlignment="1">
      <alignment vertical="center"/>
    </xf>
    <xf numFmtId="3" fontId="29" fillId="0" borderId="23" xfId="55" applyNumberFormat="1" applyFont="1" applyFill="1" applyBorder="1" applyAlignment="1">
      <alignment vertical="center"/>
    </xf>
    <xf numFmtId="1" fontId="29" fillId="0" borderId="22" xfId="55" applyNumberFormat="1" applyFont="1" applyFill="1" applyBorder="1" applyAlignment="1">
      <alignment vertical="center"/>
    </xf>
    <xf numFmtId="3" fontId="29" fillId="0" borderId="33" xfId="55" applyNumberFormat="1" applyFont="1" applyFill="1" applyBorder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7" fillId="0" borderId="0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" fontId="20" fillId="0" borderId="0" xfId="0" applyNumberFormat="1" applyFont="1" applyAlignment="1">
      <alignment vertical="center"/>
    </xf>
    <xf numFmtId="0" fontId="27" fillId="0" borderId="1" xfId="0" applyFont="1" applyBorder="1" applyAlignment="1">
      <alignment vertical="center"/>
    </xf>
    <xf numFmtId="3" fontId="27" fillId="0" borderId="1" xfId="0" applyNumberFormat="1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3" fontId="27" fillId="0" borderId="0" xfId="0" applyNumberFormat="1" applyFont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16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3" fontId="28" fillId="0" borderId="33" xfId="57" applyNumberFormat="1" applyFont="1" applyFill="1" applyBorder="1" applyAlignment="1">
      <alignment horizontal="center" vertical="center"/>
    </xf>
    <xf numFmtId="14" fontId="28" fillId="0" borderId="23" xfId="57" applyNumberFormat="1" applyFont="1" applyFill="1" applyBorder="1" applyAlignment="1">
      <alignment horizontal="center" vertical="center" wrapText="1"/>
    </xf>
    <xf numFmtId="14" fontId="28" fillId="0" borderId="28" xfId="57" applyNumberFormat="1" applyFont="1" applyFill="1" applyBorder="1" applyAlignment="1">
      <alignment horizontal="left" vertical="center" wrapText="1"/>
    </xf>
    <xf numFmtId="14" fontId="28" fillId="0" borderId="36" xfId="57" applyNumberFormat="1" applyFont="1" applyFill="1" applyBorder="1" applyAlignment="1">
      <alignment vertical="center" wrapText="1"/>
    </xf>
    <xf numFmtId="3" fontId="28" fillId="0" borderId="25" xfId="57" applyNumberFormat="1" applyFont="1" applyFill="1" applyBorder="1" applyAlignment="1">
      <alignment vertical="center" wrapText="1"/>
    </xf>
    <xf numFmtId="166" fontId="28" fillId="0" borderId="25" xfId="57" applyNumberFormat="1" applyFont="1" applyFill="1" applyBorder="1" applyAlignment="1">
      <alignment horizontal="left" vertical="center"/>
    </xf>
    <xf numFmtId="10" fontId="28" fillId="0" borderId="25" xfId="57" applyNumberFormat="1" applyFont="1" applyFill="1" applyBorder="1" applyAlignment="1">
      <alignment horizontal="left" vertical="center"/>
    </xf>
    <xf numFmtId="9" fontId="28" fillId="0" borderId="25" xfId="57" applyNumberFormat="1" applyFont="1" applyFill="1" applyBorder="1" applyAlignment="1">
      <alignment horizontal="left" vertical="center"/>
    </xf>
    <xf numFmtId="9" fontId="44" fillId="0" borderId="25" xfId="57" applyNumberFormat="1" applyFont="1" applyFill="1" applyBorder="1" applyAlignment="1">
      <alignment horizontal="left" vertical="center"/>
    </xf>
    <xf numFmtId="14" fontId="28" fillId="0" borderId="19" xfId="57" applyNumberFormat="1" applyFont="1" applyFill="1" applyBorder="1" applyAlignment="1">
      <alignment vertical="center" wrapText="1"/>
    </xf>
    <xf numFmtId="3" fontId="28" fillId="0" borderId="24" xfId="57" applyNumberFormat="1" applyFont="1" applyFill="1" applyBorder="1" applyAlignment="1">
      <alignment vertical="center" wrapText="1"/>
    </xf>
    <xf numFmtId="3" fontId="29" fillId="0" borderId="25" xfId="57" applyNumberFormat="1" applyFont="1" applyFill="1" applyBorder="1" applyAlignment="1">
      <alignment vertical="center" wrapText="1"/>
    </xf>
    <xf numFmtId="3" fontId="28" fillId="0" borderId="19" xfId="57" applyNumberFormat="1" applyFont="1" applyFill="1" applyBorder="1" applyAlignment="1">
      <alignment vertical="center" wrapText="1"/>
    </xf>
    <xf numFmtId="14" fontId="28" fillId="0" borderId="19" xfId="57" applyNumberFormat="1" applyFont="1" applyFill="1" applyBorder="1" applyAlignment="1">
      <alignment horizontal="left" vertical="center"/>
    </xf>
    <xf numFmtId="3" fontId="29" fillId="0" borderId="23" xfId="57" applyNumberFormat="1" applyFont="1" applyFill="1" applyBorder="1" applyAlignment="1">
      <alignment vertical="center" wrapText="1"/>
    </xf>
    <xf numFmtId="14" fontId="29" fillId="0" borderId="23" xfId="57" applyNumberFormat="1" applyFont="1" applyFill="1" applyBorder="1" applyAlignment="1">
      <alignment horizontal="left" vertical="center"/>
    </xf>
    <xf numFmtId="3" fontId="28" fillId="0" borderId="19" xfId="55" applyNumberFormat="1" applyFont="1" applyFill="1" applyBorder="1" applyAlignment="1">
      <alignment vertical="center" wrapText="1"/>
    </xf>
    <xf numFmtId="14" fontId="28" fillId="0" borderId="19" xfId="55" applyNumberFormat="1" applyFont="1" applyFill="1" applyBorder="1" applyAlignment="1">
      <alignment horizontal="left" vertical="center"/>
    </xf>
    <xf numFmtId="14" fontId="28" fillId="0" borderId="36" xfId="55" applyNumberFormat="1" applyFont="1" applyFill="1" applyBorder="1" applyAlignment="1">
      <alignment vertical="center" wrapText="1"/>
    </xf>
    <xf numFmtId="14" fontId="48" fillId="0" borderId="3" xfId="57" applyNumberFormat="1" applyFont="1" applyFill="1" applyBorder="1" applyAlignment="1">
      <alignment horizontal="center" vertical="center"/>
    </xf>
    <xf numFmtId="0" fontId="48" fillId="0" borderId="0" xfId="57" applyFont="1" applyFill="1" applyAlignment="1">
      <alignment horizontal="center" vertical="center"/>
    </xf>
    <xf numFmtId="14" fontId="48" fillId="0" borderId="34" xfId="57" applyNumberFormat="1" applyFont="1" applyFill="1" applyBorder="1" applyAlignment="1">
      <alignment vertical="center"/>
    </xf>
    <xf numFmtId="0" fontId="48" fillId="0" borderId="0" xfId="57" applyFont="1" applyFill="1" applyAlignment="1">
      <alignment vertical="center"/>
    </xf>
    <xf numFmtId="14" fontId="48" fillId="0" borderId="37" xfId="57" applyNumberFormat="1" applyFont="1" applyFill="1" applyBorder="1" applyAlignment="1">
      <alignment vertical="center"/>
    </xf>
    <xf numFmtId="0" fontId="28" fillId="0" borderId="27" xfId="57" applyFont="1" applyFill="1" applyBorder="1" applyAlignment="1">
      <alignment vertical="center"/>
    </xf>
    <xf numFmtId="0" fontId="28" fillId="0" borderId="38" xfId="57" applyFont="1" applyFill="1" applyBorder="1" applyAlignment="1">
      <alignment vertical="center"/>
    </xf>
    <xf numFmtId="0" fontId="49" fillId="0" borderId="0" xfId="57" applyFont="1" applyFill="1" applyAlignment="1">
      <alignment vertical="center"/>
    </xf>
    <xf numFmtId="0" fontId="28" fillId="0" borderId="39" xfId="57" applyFont="1" applyFill="1" applyBorder="1" applyAlignment="1">
      <alignment vertical="center"/>
    </xf>
    <xf numFmtId="14" fontId="48" fillId="0" borderId="42" xfId="55" applyNumberFormat="1" applyFont="1" applyFill="1" applyBorder="1" applyAlignment="1">
      <alignment vertical="center"/>
    </xf>
    <xf numFmtId="0" fontId="28" fillId="0" borderId="39" xfId="55" applyFont="1" applyFill="1" applyBorder="1" applyAlignment="1">
      <alignment vertical="center"/>
    </xf>
    <xf numFmtId="14" fontId="48" fillId="0" borderId="0" xfId="57" applyNumberFormat="1" applyFont="1" applyFill="1" applyBorder="1" applyAlignment="1">
      <alignment vertical="center"/>
    </xf>
    <xf numFmtId="3" fontId="48" fillId="0" borderId="0" xfId="57" applyNumberFormat="1" applyFont="1" applyFill="1" applyAlignment="1">
      <alignment vertical="center"/>
    </xf>
    <xf numFmtId="0" fontId="48" fillId="0" borderId="0" xfId="57" applyFont="1" applyFill="1" applyAlignment="1">
      <alignment horizontal="left" vertical="center"/>
    </xf>
    <xf numFmtId="1" fontId="28" fillId="0" borderId="25" xfId="57" applyNumberFormat="1" applyFont="1" applyFill="1" applyBorder="1" applyAlignment="1">
      <alignment horizontal="center" vertical="center"/>
    </xf>
    <xf numFmtId="14" fontId="28" fillId="0" borderId="25" xfId="57" applyNumberFormat="1" applyFont="1" applyFill="1" applyBorder="1" applyAlignment="1">
      <alignment horizontal="right" vertical="center" wrapText="1"/>
    </xf>
    <xf numFmtId="0" fontId="20" fillId="0" borderId="7" xfId="0" applyFont="1" applyBorder="1" applyAlignment="1">
      <alignment horizontal="right" vertical="center"/>
    </xf>
    <xf numFmtId="0" fontId="30" fillId="0" borderId="5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27" fillId="2" borderId="1" xfId="0" applyFont="1" applyFill="1" applyBorder="1" applyAlignment="1">
      <alignment horizontal="left" vertical="center"/>
    </xf>
    <xf numFmtId="3" fontId="27" fillId="2" borderId="1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3" fontId="47" fillId="0" borderId="1" xfId="0" applyNumberFormat="1" applyFont="1" applyBorder="1" applyAlignment="1">
      <alignment vertical="center"/>
    </xf>
    <xf numFmtId="3" fontId="20" fillId="0" borderId="0" xfId="0" applyNumberFormat="1" applyFont="1" applyAlignment="1">
      <alignment horizontal="left" vertical="center"/>
    </xf>
    <xf numFmtId="0" fontId="28" fillId="0" borderId="1" xfId="0" applyFont="1" applyFill="1" applyBorder="1" applyAlignment="1">
      <alignment horizontal="center" wrapText="1"/>
    </xf>
    <xf numFmtId="0" fontId="20" fillId="0" borderId="0" xfId="0" applyFont="1" applyAlignment="1">
      <alignment horizontal="right" vertical="center"/>
    </xf>
    <xf numFmtId="0" fontId="27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3" fontId="20" fillId="3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23" fillId="0" borderId="0" xfId="77" applyAlignment="1">
      <alignment vertical="center"/>
    </xf>
    <xf numFmtId="0" fontId="28" fillId="0" borderId="0" xfId="77" applyFont="1" applyAlignment="1">
      <alignment horizontal="right" vertical="center"/>
    </xf>
    <xf numFmtId="0" fontId="28" fillId="0" borderId="1" xfId="77" applyFont="1" applyBorder="1" applyAlignment="1">
      <alignment vertical="center"/>
    </xf>
    <xf numFmtId="3" fontId="28" fillId="0" borderId="1" xfId="77" applyNumberFormat="1" applyFont="1" applyBorder="1" applyAlignment="1">
      <alignment vertical="center"/>
    </xf>
    <xf numFmtId="0" fontId="25" fillId="0" borderId="1" xfId="77" applyFont="1" applyBorder="1" applyAlignment="1">
      <alignment vertical="center"/>
    </xf>
    <xf numFmtId="3" fontId="25" fillId="0" borderId="1" xfId="77" applyNumberFormat="1" applyFont="1" applyBorder="1" applyAlignment="1">
      <alignment vertical="center"/>
    </xf>
    <xf numFmtId="0" fontId="24" fillId="0" borderId="0" xfId="77" applyFont="1" applyAlignment="1">
      <alignment vertical="center"/>
    </xf>
    <xf numFmtId="3" fontId="25" fillId="0" borderId="1" xfId="77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14" fontId="30" fillId="0" borderId="1" xfId="0" applyNumberFormat="1" applyFont="1" applyBorder="1" applyAlignment="1">
      <alignment horizontal="center" vertical="center" wrapText="1"/>
    </xf>
    <xf numFmtId="14" fontId="30" fillId="0" borderId="0" xfId="0" applyNumberFormat="1" applyFont="1" applyBorder="1" applyAlignment="1">
      <alignment horizontal="center" vertical="center" wrapText="1"/>
    </xf>
    <xf numFmtId="0" fontId="0" fillId="0" borderId="1" xfId="1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30" fillId="2" borderId="1" xfId="0" applyFont="1" applyFill="1" applyBorder="1" applyAlignment="1">
      <alignment vertical="center"/>
    </xf>
    <xf numFmtId="0" fontId="30" fillId="2" borderId="0" xfId="0" applyFont="1" applyFill="1" applyBorder="1" applyAlignment="1">
      <alignment vertical="center"/>
    </xf>
    <xf numFmtId="0" fontId="20" fillId="0" borderId="0" xfId="1" applyFont="1" applyAlignment="1">
      <alignment vertical="center"/>
    </xf>
    <xf numFmtId="0" fontId="27" fillId="2" borderId="1" xfId="0" applyFont="1" applyFill="1" applyBorder="1" applyAlignment="1">
      <alignment vertical="center"/>
    </xf>
    <xf numFmtId="49" fontId="20" fillId="0" borderId="44" xfId="0" applyNumberFormat="1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vertical="center"/>
    </xf>
    <xf numFmtId="49" fontId="20" fillId="0" borderId="32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49" xfId="0" applyNumberFormat="1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vertical="center"/>
    </xf>
    <xf numFmtId="0" fontId="20" fillId="0" borderId="45" xfId="0" applyFont="1" applyFill="1" applyBorder="1" applyAlignment="1">
      <alignment vertical="center" wrapText="1"/>
    </xf>
    <xf numFmtId="49" fontId="20" fillId="0" borderId="52" xfId="0" applyNumberFormat="1" applyFont="1" applyFill="1" applyBorder="1" applyAlignment="1">
      <alignment horizontal="center" vertical="center" wrapText="1"/>
    </xf>
    <xf numFmtId="0" fontId="20" fillId="0" borderId="53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vertical="center"/>
    </xf>
    <xf numFmtId="49" fontId="20" fillId="0" borderId="5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3" fontId="28" fillId="0" borderId="1" xfId="77" applyNumberFormat="1" applyFont="1" applyBorder="1" applyAlignment="1">
      <alignment horizontal="right" vertical="center"/>
    </xf>
    <xf numFmtId="3" fontId="28" fillId="0" borderId="1" xfId="77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3" fontId="20" fillId="0" borderId="1" xfId="0" applyNumberFormat="1" applyFont="1" applyFill="1" applyBorder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3" fontId="20" fillId="0" borderId="5" xfId="0" applyNumberFormat="1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3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16" fontId="20" fillId="0" borderId="0" xfId="0" applyNumberFormat="1" applyFont="1" applyBorder="1" applyAlignment="1">
      <alignment horizontal="right" vertical="center"/>
    </xf>
    <xf numFmtId="168" fontId="0" fillId="0" borderId="0" xfId="38" applyNumberFormat="1" applyFont="1" applyAlignment="1">
      <alignment vertical="center"/>
    </xf>
    <xf numFmtId="3" fontId="0" fillId="0" borderId="0" xfId="0" applyNumberFormat="1" applyBorder="1" applyAlignment="1">
      <alignment horizontal="right" vertical="center"/>
    </xf>
    <xf numFmtId="16" fontId="20" fillId="0" borderId="0" xfId="0" applyNumberFormat="1" applyFont="1" applyBorder="1" applyAlignment="1">
      <alignment vertical="center"/>
    </xf>
    <xf numFmtId="168" fontId="26" fillId="0" borderId="0" xfId="38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0" fillId="0" borderId="14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0" fillId="0" borderId="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26" fillId="0" borderId="0" xfId="0" applyFont="1" applyAlignment="1">
      <alignment horizontal="righ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14" fontId="28" fillId="0" borderId="16" xfId="6" applyNumberFormat="1" applyFont="1" applyBorder="1" applyAlignment="1">
      <alignment horizontal="center" vertical="center" wrapText="1"/>
    </xf>
    <xf numFmtId="3" fontId="28" fillId="0" borderId="16" xfId="6" applyNumberFormat="1" applyFont="1" applyBorder="1" applyAlignment="1">
      <alignment horizontal="center" vertical="center" wrapText="1"/>
    </xf>
    <xf numFmtId="0" fontId="28" fillId="0" borderId="16" xfId="6" applyNumberFormat="1" applyFont="1" applyBorder="1" applyAlignment="1">
      <alignment horizontal="center" vertical="center" wrapText="1"/>
    </xf>
    <xf numFmtId="0" fontId="28" fillId="0" borderId="16" xfId="6" applyFont="1" applyBorder="1" applyAlignment="1">
      <alignment horizontal="center" vertical="center" wrapText="1"/>
    </xf>
    <xf numFmtId="3" fontId="29" fillId="0" borderId="17" xfId="6" applyNumberFormat="1" applyFont="1" applyBorder="1" applyAlignment="1">
      <alignment vertical="center" wrapText="1"/>
    </xf>
    <xf numFmtId="0" fontId="40" fillId="0" borderId="18" xfId="6" applyFont="1" applyBorder="1" applyAlignment="1">
      <alignment horizontal="center" vertical="center" wrapText="1"/>
    </xf>
    <xf numFmtId="14" fontId="28" fillId="0" borderId="24" xfId="6" applyNumberFormat="1" applyFont="1" applyBorder="1" applyAlignment="1">
      <alignment vertical="center"/>
    </xf>
    <xf numFmtId="0" fontId="20" fillId="0" borderId="24" xfId="6" applyFont="1" applyBorder="1" applyAlignment="1">
      <alignment vertical="center"/>
    </xf>
    <xf numFmtId="3" fontId="28" fillId="0" borderId="24" xfId="6" applyNumberFormat="1" applyFont="1" applyBorder="1" applyAlignment="1">
      <alignment vertical="center"/>
    </xf>
    <xf numFmtId="0" fontId="28" fillId="0" borderId="24" xfId="6" applyNumberFormat="1" applyFont="1" applyBorder="1" applyAlignment="1">
      <alignment vertical="center" wrapText="1"/>
    </xf>
    <xf numFmtId="10" fontId="28" fillId="0" borderId="25" xfId="6" applyNumberFormat="1" applyFont="1" applyBorder="1" applyAlignment="1">
      <alignment horizontal="center" vertical="center"/>
    </xf>
    <xf numFmtId="3" fontId="28" fillId="0" borderId="24" xfId="6" applyNumberFormat="1" applyFont="1" applyFill="1" applyBorder="1" applyAlignment="1">
      <alignment vertical="center"/>
    </xf>
    <xf numFmtId="14" fontId="28" fillId="0" borderId="24" xfId="6" applyNumberFormat="1" applyFont="1" applyBorder="1" applyAlignment="1">
      <alignment vertical="center" wrapText="1"/>
    </xf>
    <xf numFmtId="3" fontId="28" fillId="0" borderId="25" xfId="6" applyNumberFormat="1" applyFont="1" applyBorder="1" applyAlignment="1">
      <alignment vertical="center"/>
    </xf>
    <xf numFmtId="3" fontId="28" fillId="0" borderId="26" xfId="6" applyNumberFormat="1" applyFont="1" applyBorder="1" applyAlignment="1">
      <alignment vertical="center" wrapText="1"/>
    </xf>
    <xf numFmtId="3" fontId="28" fillId="0" borderId="27" xfId="6" applyNumberFormat="1" applyFont="1" applyBorder="1" applyAlignment="1">
      <alignment vertical="center" wrapText="1"/>
    </xf>
    <xf numFmtId="14" fontId="29" fillId="0" borderId="24" xfId="6" applyNumberFormat="1" applyFont="1" applyBorder="1" applyAlignment="1">
      <alignment vertical="center"/>
    </xf>
    <xf numFmtId="0" fontId="27" fillId="0" borderId="24" xfId="6" applyFont="1" applyBorder="1" applyAlignment="1">
      <alignment vertical="center"/>
    </xf>
    <xf numFmtId="3" fontId="29" fillId="0" borderId="24" xfId="6" applyNumberFormat="1" applyFont="1" applyBorder="1" applyAlignment="1">
      <alignment vertical="center"/>
    </xf>
    <xf numFmtId="0" fontId="29" fillId="0" borderId="24" xfId="6" applyNumberFormat="1" applyFont="1" applyBorder="1" applyAlignment="1">
      <alignment vertical="center" wrapText="1"/>
    </xf>
    <xf numFmtId="10" fontId="29" fillId="0" borderId="25" xfId="6" applyNumberFormat="1" applyFont="1" applyBorder="1" applyAlignment="1">
      <alignment horizontal="center" vertical="center"/>
    </xf>
    <xf numFmtId="14" fontId="29" fillId="0" borderId="24" xfId="6" applyNumberFormat="1" applyFont="1" applyBorder="1" applyAlignment="1">
      <alignment vertical="center" wrapText="1"/>
    </xf>
    <xf numFmtId="3" fontId="29" fillId="0" borderId="24" xfId="6" applyNumberFormat="1" applyFont="1" applyFill="1" applyBorder="1" applyAlignment="1">
      <alignment vertical="center"/>
    </xf>
    <xf numFmtId="3" fontId="29" fillId="0" borderId="25" xfId="6" applyNumberFormat="1" applyFont="1" applyBorder="1" applyAlignment="1">
      <alignment vertical="center"/>
    </xf>
    <xf numFmtId="14" fontId="28" fillId="0" borderId="25" xfId="6" applyNumberFormat="1" applyFont="1" applyBorder="1" applyAlignment="1">
      <alignment vertical="center"/>
    </xf>
    <xf numFmtId="0" fontId="20" fillId="0" borderId="25" xfId="6" applyFont="1" applyBorder="1" applyAlignment="1">
      <alignment vertical="center"/>
    </xf>
    <xf numFmtId="0" fontId="28" fillId="0" borderId="25" xfId="6" applyNumberFormat="1" applyFont="1" applyBorder="1" applyAlignment="1">
      <alignment vertical="center" wrapText="1"/>
    </xf>
    <xf numFmtId="14" fontId="28" fillId="0" borderId="25" xfId="6" applyNumberFormat="1" applyFont="1" applyBorder="1" applyAlignment="1">
      <alignment vertical="center" wrapText="1"/>
    </xf>
    <xf numFmtId="3" fontId="28" fillId="0" borderId="25" xfId="6" applyNumberFormat="1" applyFont="1" applyFill="1" applyBorder="1" applyAlignment="1">
      <alignment vertical="center"/>
    </xf>
    <xf numFmtId="3" fontId="20" fillId="0" borderId="5" xfId="0" applyNumberFormat="1" applyFont="1" applyBorder="1" applyAlignment="1">
      <alignment horizontal="right" vertical="center"/>
    </xf>
    <xf numFmtId="0" fontId="20" fillId="0" borderId="1" xfId="0" applyFont="1" applyBorder="1"/>
    <xf numFmtId="0" fontId="0" fillId="0" borderId="1" xfId="1" applyFont="1" applyBorder="1"/>
    <xf numFmtId="0" fontId="26" fillId="0" borderId="1" xfId="0" applyFont="1" applyBorder="1"/>
    <xf numFmtId="0" fontId="26" fillId="0" borderId="0" xfId="0" applyFont="1" applyBorder="1"/>
    <xf numFmtId="0" fontId="20" fillId="0" borderId="62" xfId="0" applyFont="1" applyFill="1" applyBorder="1" applyAlignment="1">
      <alignment vertical="center"/>
    </xf>
    <xf numFmtId="0" fontId="20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/>
    </xf>
    <xf numFmtId="49" fontId="20" fillId="0" borderId="77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vertical="center"/>
    </xf>
    <xf numFmtId="49" fontId="20" fillId="0" borderId="79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49" fontId="20" fillId="0" borderId="47" xfId="0" applyNumberFormat="1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20" fillId="0" borderId="68" xfId="0" applyFont="1" applyFill="1" applyBorder="1" applyAlignment="1">
      <alignment vertical="center"/>
    </xf>
    <xf numFmtId="49" fontId="20" fillId="0" borderId="45" xfId="0" applyNumberFormat="1" applyFont="1" applyFill="1" applyBorder="1" applyAlignment="1">
      <alignment horizontal="center" vertical="center" wrapText="1"/>
    </xf>
    <xf numFmtId="49" fontId="45" fillId="0" borderId="1" xfId="104" applyNumberFormat="1" applyFont="1" applyFill="1" applyBorder="1" applyAlignment="1">
      <alignment vertical="center"/>
    </xf>
    <xf numFmtId="1" fontId="46" fillId="0" borderId="1" xfId="103" applyNumberFormat="1" applyFont="1" applyFill="1" applyBorder="1" applyAlignment="1">
      <alignment horizontal="left" vertical="center" wrapText="1"/>
    </xf>
    <xf numFmtId="0" fontId="45" fillId="0" borderId="1" xfId="105" applyFont="1" applyFill="1" applyBorder="1" applyAlignment="1">
      <alignment vertical="center" wrapText="1"/>
    </xf>
    <xf numFmtId="3" fontId="45" fillId="0" borderId="1" xfId="104" applyNumberFormat="1" applyFont="1" applyFill="1" applyBorder="1" applyAlignment="1">
      <alignment vertical="center"/>
    </xf>
    <xf numFmtId="3" fontId="45" fillId="0" borderId="1" xfId="103" applyNumberFormat="1" applyFont="1" applyFill="1" applyBorder="1" applyAlignment="1">
      <alignment horizontal="right" vertical="center"/>
    </xf>
    <xf numFmtId="3" fontId="46" fillId="0" borderId="1" xfId="103" applyNumberFormat="1" applyFont="1" applyFill="1" applyBorder="1" applyAlignment="1">
      <alignment horizontal="right" vertical="center" wrapText="1"/>
    </xf>
    <xf numFmtId="0" fontId="45" fillId="0" borderId="1" xfId="103" applyFont="1" applyFill="1" applyBorder="1" applyAlignment="1">
      <alignment horizontal="right" vertical="center" wrapText="1"/>
    </xf>
    <xf numFmtId="3" fontId="45" fillId="0" borderId="1" xfId="104" applyNumberFormat="1" applyFont="1" applyFill="1" applyBorder="1" applyAlignment="1">
      <alignment horizontal="right" vertical="center"/>
    </xf>
    <xf numFmtId="0" fontId="46" fillId="0" borderId="1" xfId="103" applyFont="1" applyFill="1" applyBorder="1" applyAlignment="1">
      <alignment horizontal="right" vertical="center" wrapText="1"/>
    </xf>
    <xf numFmtId="0" fontId="46" fillId="0" borderId="0" xfId="103" applyFont="1" applyFill="1" applyAlignment="1">
      <alignment horizontal="left" vertical="center"/>
    </xf>
    <xf numFmtId="0" fontId="45" fillId="0" borderId="1" xfId="105" applyFont="1" applyFill="1" applyBorder="1" applyAlignment="1">
      <alignment vertical="center"/>
    </xf>
    <xf numFmtId="1" fontId="45" fillId="0" borderId="1" xfId="103" applyNumberFormat="1" applyFont="1" applyFill="1" applyBorder="1" applyAlignment="1">
      <alignment horizontal="center" vertical="center" wrapText="1"/>
    </xf>
    <xf numFmtId="3" fontId="45" fillId="0" borderId="0" xfId="103" applyNumberFormat="1" applyFont="1" applyFill="1" applyBorder="1" applyAlignment="1">
      <alignment vertical="center"/>
    </xf>
    <xf numFmtId="1" fontId="46" fillId="0" borderId="5" xfId="103" applyNumberFormat="1" applyFont="1" applyFill="1" applyBorder="1" applyAlignment="1">
      <alignment horizontal="left" vertical="center" wrapText="1"/>
    </xf>
    <xf numFmtId="1" fontId="45" fillId="0" borderId="5" xfId="103" applyNumberFormat="1" applyFont="1" applyFill="1" applyBorder="1" applyAlignment="1">
      <alignment horizontal="center" vertical="center"/>
    </xf>
    <xf numFmtId="3" fontId="45" fillId="0" borderId="5" xfId="103" applyNumberFormat="1" applyFont="1" applyFill="1" applyBorder="1" applyAlignment="1">
      <alignment horizontal="right" vertical="center"/>
    </xf>
    <xf numFmtId="3" fontId="45" fillId="0" borderId="5" xfId="104" applyNumberFormat="1" applyFont="1" applyFill="1" applyBorder="1" applyAlignment="1">
      <alignment horizontal="right" vertical="center"/>
    </xf>
    <xf numFmtId="0" fontId="45" fillId="0" borderId="5" xfId="103" applyFont="1" applyFill="1" applyBorder="1" applyAlignment="1">
      <alignment horizontal="right" vertical="center" wrapText="1"/>
    </xf>
    <xf numFmtId="0" fontId="45" fillId="0" borderId="1" xfId="103" applyFont="1" applyFill="1" applyBorder="1" applyAlignment="1">
      <alignment horizontal="left" vertical="center" wrapText="1"/>
    </xf>
    <xf numFmtId="0" fontId="45" fillId="0" borderId="1" xfId="104" applyFont="1" applyFill="1" applyBorder="1" applyAlignment="1">
      <alignment vertical="center" wrapText="1"/>
    </xf>
    <xf numFmtId="1" fontId="45" fillId="0" borderId="1" xfId="103" applyNumberFormat="1" applyFont="1" applyFill="1" applyBorder="1" applyAlignment="1">
      <alignment horizontal="left" vertical="center"/>
    </xf>
    <xf numFmtId="0" fontId="45" fillId="0" borderId="0" xfId="103" applyFont="1" applyFill="1" applyAlignment="1">
      <alignment vertical="center"/>
    </xf>
    <xf numFmtId="1" fontId="45" fillId="0" borderId="1" xfId="103" applyNumberFormat="1" applyFont="1" applyFill="1" applyBorder="1" applyAlignment="1">
      <alignment horizontal="center" vertical="center"/>
    </xf>
    <xf numFmtId="3" fontId="45" fillId="0" borderId="1" xfId="105" applyNumberFormat="1" applyFont="1" applyFill="1" applyBorder="1" applyAlignment="1">
      <alignment horizontal="left" vertical="center" wrapText="1"/>
    </xf>
    <xf numFmtId="1" fontId="46" fillId="0" borderId="1" xfId="103" applyNumberFormat="1" applyFont="1" applyFill="1" applyBorder="1" applyAlignment="1">
      <alignment horizontal="center" vertical="center"/>
    </xf>
    <xf numFmtId="0" fontId="45" fillId="0" borderId="1" xfId="105" applyFont="1" applyFill="1" applyBorder="1" applyAlignment="1">
      <alignment horizontal="left" vertical="center" wrapText="1"/>
    </xf>
    <xf numFmtId="0" fontId="46" fillId="0" borderId="1" xfId="103" applyFont="1" applyFill="1" applyBorder="1" applyAlignment="1">
      <alignment horizontal="left" vertical="center"/>
    </xf>
    <xf numFmtId="0" fontId="45" fillId="0" borderId="1" xfId="103" applyFont="1" applyFill="1" applyBorder="1" applyAlignment="1">
      <alignment horizontal="center" vertical="center"/>
    </xf>
    <xf numFmtId="0" fontId="46" fillId="0" borderId="1" xfId="106" applyFont="1" applyFill="1" applyBorder="1" applyAlignment="1">
      <alignment horizontal="left" vertical="center"/>
    </xf>
    <xf numFmtId="0" fontId="45" fillId="0" borderId="1" xfId="103" applyFont="1" applyFill="1" applyBorder="1" applyAlignment="1">
      <alignment horizontal="right" vertical="center"/>
    </xf>
    <xf numFmtId="49" fontId="45" fillId="0" borderId="5" xfId="104" applyNumberFormat="1" applyFont="1" applyFill="1" applyBorder="1" applyAlignment="1">
      <alignment vertical="center"/>
    </xf>
    <xf numFmtId="0" fontId="45" fillId="0" borderId="0" xfId="105" applyFont="1" applyFill="1" applyBorder="1" applyAlignment="1">
      <alignment vertical="center" wrapText="1"/>
    </xf>
    <xf numFmtId="3" fontId="46" fillId="0" borderId="1" xfId="103" applyNumberFormat="1" applyFont="1" applyFill="1" applyBorder="1" applyAlignment="1">
      <alignment vertical="center" wrapText="1"/>
    </xf>
    <xf numFmtId="0" fontId="46" fillId="0" borderId="1" xfId="103" applyFont="1" applyFill="1" applyBorder="1" applyAlignment="1">
      <alignment vertical="center" wrapText="1"/>
    </xf>
    <xf numFmtId="49" fontId="45" fillId="0" borderId="15" xfId="104" applyNumberFormat="1" applyFont="1" applyFill="1" applyBorder="1" applyAlignment="1">
      <alignment vertical="center"/>
    </xf>
    <xf numFmtId="0" fontId="45" fillId="0" borderId="6" xfId="104" applyFont="1" applyFill="1" applyBorder="1" applyAlignment="1">
      <alignment vertical="center" wrapText="1"/>
    </xf>
    <xf numFmtId="0" fontId="46" fillId="0" borderId="6" xfId="104" applyFont="1" applyFill="1" applyBorder="1" applyAlignment="1">
      <alignment horizontal="left" vertical="center" wrapText="1"/>
    </xf>
    <xf numFmtId="1" fontId="46" fillId="0" borderId="1" xfId="103" applyNumberFormat="1" applyFont="1" applyFill="1" applyBorder="1" applyAlignment="1">
      <alignment horizontal="left" vertical="center"/>
    </xf>
    <xf numFmtId="14" fontId="46" fillId="0" borderId="1" xfId="103" applyNumberFormat="1" applyFont="1" applyFill="1" applyBorder="1" applyAlignment="1">
      <alignment horizontal="center" vertical="center" wrapText="1"/>
    </xf>
    <xf numFmtId="0" fontId="45" fillId="0" borderId="0" xfId="104" applyFont="1" applyFill="1" applyAlignment="1">
      <alignment vertical="center" wrapText="1"/>
    </xf>
    <xf numFmtId="0" fontId="45" fillId="0" borderId="1" xfId="105" applyFont="1" applyFill="1" applyBorder="1" applyAlignment="1">
      <alignment horizontal="right" vertical="center" wrapText="1"/>
    </xf>
    <xf numFmtId="0" fontId="46" fillId="0" borderId="1" xfId="105" applyFont="1" applyFill="1" applyBorder="1" applyAlignment="1">
      <alignment vertical="center" wrapText="1"/>
    </xf>
    <xf numFmtId="3" fontId="45" fillId="0" borderId="1" xfId="105" applyNumberFormat="1" applyFont="1" applyFill="1" applyBorder="1" applyAlignment="1">
      <alignment vertical="center" wrapText="1"/>
    </xf>
    <xf numFmtId="3" fontId="45" fillId="0" borderId="2" xfId="104" applyNumberFormat="1" applyFont="1" applyFill="1" applyBorder="1" applyAlignment="1">
      <alignment horizontal="right" vertical="center"/>
    </xf>
    <xf numFmtId="0" fontId="45" fillId="0" borderId="1" xfId="104" applyFont="1" applyFill="1" applyBorder="1" applyAlignment="1">
      <alignment vertical="center"/>
    </xf>
    <xf numFmtId="0" fontId="46" fillId="0" borderId="1" xfId="104" applyFont="1" applyFill="1" applyBorder="1" applyAlignment="1">
      <alignment vertical="center"/>
    </xf>
    <xf numFmtId="3" fontId="46" fillId="0" borderId="1" xfId="104" applyNumberFormat="1" applyFont="1" applyFill="1" applyBorder="1" applyAlignment="1">
      <alignment horizontal="right" vertical="center"/>
    </xf>
    <xf numFmtId="0" fontId="45" fillId="0" borderId="0" xfId="103" applyFont="1" applyFill="1" applyAlignment="1">
      <alignment horizontal="center" vertical="center"/>
    </xf>
    <xf numFmtId="1" fontId="45" fillId="0" borderId="1" xfId="103" applyNumberFormat="1" applyFont="1" applyFill="1" applyBorder="1" applyAlignment="1">
      <alignment horizontal="left" vertical="center" wrapText="1"/>
    </xf>
    <xf numFmtId="49" fontId="45" fillId="0" borderId="1" xfId="103" applyNumberFormat="1" applyFont="1" applyFill="1" applyBorder="1" applyAlignment="1">
      <alignment horizontal="center" vertical="center"/>
    </xf>
    <xf numFmtId="49" fontId="45" fillId="0" borderId="1" xfId="104" applyNumberFormat="1" applyFont="1" applyFill="1" applyBorder="1" applyAlignment="1">
      <alignment vertical="center" wrapText="1"/>
    </xf>
    <xf numFmtId="0" fontId="45" fillId="0" borderId="43" xfId="105" applyFont="1" applyFill="1" applyBorder="1" applyAlignment="1">
      <alignment vertical="center" wrapText="1"/>
    </xf>
    <xf numFmtId="3" fontId="45" fillId="0" borderId="1" xfId="103" applyNumberFormat="1" applyFont="1" applyFill="1" applyBorder="1" applyAlignment="1">
      <alignment vertical="center"/>
    </xf>
    <xf numFmtId="1" fontId="46" fillId="0" borderId="1" xfId="103" applyNumberFormat="1" applyFont="1" applyFill="1" applyBorder="1" applyAlignment="1">
      <alignment vertical="center" wrapText="1"/>
    </xf>
    <xf numFmtId="3" fontId="45" fillId="0" borderId="1" xfId="107" applyNumberFormat="1" applyFont="1" applyFill="1" applyBorder="1" applyAlignment="1">
      <alignment horizontal="right" vertical="center"/>
    </xf>
    <xf numFmtId="1" fontId="46" fillId="0" borderId="6" xfId="103" applyNumberFormat="1" applyFont="1" applyFill="1" applyBorder="1" applyAlignment="1">
      <alignment horizontal="left" vertical="center" wrapText="1"/>
    </xf>
    <xf numFmtId="1" fontId="45" fillId="0" borderId="6" xfId="103" applyNumberFormat="1" applyFont="1" applyFill="1" applyBorder="1" applyAlignment="1">
      <alignment horizontal="center" vertical="center"/>
    </xf>
    <xf numFmtId="0" fontId="45" fillId="0" borderId="6" xfId="105" applyFont="1" applyFill="1" applyBorder="1" applyAlignment="1">
      <alignment vertical="center" wrapText="1"/>
    </xf>
    <xf numFmtId="3" fontId="45" fillId="0" borderId="6" xfId="104" applyNumberFormat="1" applyFont="1" applyFill="1" applyBorder="1" applyAlignment="1">
      <alignment horizontal="right" vertical="center"/>
    </xf>
    <xf numFmtId="49" fontId="45" fillId="0" borderId="1" xfId="108" applyNumberFormat="1" applyFont="1" applyFill="1" applyBorder="1" applyAlignment="1">
      <alignment vertical="center"/>
    </xf>
    <xf numFmtId="1" fontId="46" fillId="0" borderId="1" xfId="107" applyNumberFormat="1" applyFont="1" applyFill="1" applyBorder="1" applyAlignment="1">
      <alignment horizontal="left" vertical="center" wrapText="1"/>
    </xf>
    <xf numFmtId="1" fontId="45" fillId="0" borderId="1" xfId="107" applyNumberFormat="1" applyFont="1" applyFill="1" applyBorder="1" applyAlignment="1">
      <alignment horizontal="center" vertical="center"/>
    </xf>
    <xf numFmtId="0" fontId="45" fillId="0" borderId="1" xfId="109" applyFont="1" applyFill="1" applyBorder="1" applyAlignment="1">
      <alignment vertical="center" wrapText="1"/>
    </xf>
    <xf numFmtId="0" fontId="45" fillId="0" borderId="5" xfId="105" applyFont="1" applyFill="1" applyBorder="1" applyAlignment="1">
      <alignment vertical="center" wrapText="1"/>
    </xf>
    <xf numFmtId="3" fontId="45" fillId="0" borderId="1" xfId="105" applyNumberFormat="1" applyFont="1" applyFill="1" applyBorder="1" applyAlignment="1">
      <alignment horizontal="right" vertical="center" wrapText="1"/>
    </xf>
    <xf numFmtId="3" fontId="46" fillId="0" borderId="1" xfId="103" applyNumberFormat="1" applyFont="1" applyFill="1" applyBorder="1" applyAlignment="1">
      <alignment vertical="center"/>
    </xf>
    <xf numFmtId="3" fontId="46" fillId="0" borderId="1" xfId="103" applyNumberFormat="1" applyFont="1" applyFill="1" applyBorder="1" applyAlignment="1">
      <alignment horizontal="center" vertical="center" wrapText="1"/>
    </xf>
    <xf numFmtId="0" fontId="46" fillId="0" borderId="0" xfId="103" applyFont="1" applyFill="1" applyAlignment="1">
      <alignment horizontal="center" vertical="center"/>
    </xf>
    <xf numFmtId="0" fontId="46" fillId="0" borderId="0" xfId="103" applyFont="1" applyFill="1" applyAlignment="1">
      <alignment horizontal="center" vertical="center" wrapText="1"/>
    </xf>
    <xf numFmtId="0" fontId="45" fillId="0" borderId="0" xfId="103" applyFont="1" applyFill="1" applyBorder="1" applyAlignment="1">
      <alignment vertical="center"/>
    </xf>
    <xf numFmtId="3" fontId="46" fillId="0" borderId="1" xfId="104" applyNumberFormat="1" applyFont="1" applyFill="1" applyBorder="1" applyAlignment="1">
      <alignment vertical="center"/>
    </xf>
    <xf numFmtId="49" fontId="45" fillId="0" borderId="6" xfId="104" applyNumberFormat="1" applyFont="1" applyFill="1" applyBorder="1" applyAlignment="1">
      <alignment vertical="center"/>
    </xf>
    <xf numFmtId="0" fontId="46" fillId="0" borderId="6" xfId="103" applyFont="1" applyFill="1" applyBorder="1" applyAlignment="1">
      <alignment horizontal="left" vertical="center"/>
    </xf>
    <xf numFmtId="0" fontId="45" fillId="0" borderId="1" xfId="103" applyFont="1" applyFill="1" applyBorder="1" applyAlignment="1">
      <alignment vertical="center" wrapText="1"/>
    </xf>
    <xf numFmtId="0" fontId="45" fillId="0" borderId="1" xfId="103" applyFont="1" applyFill="1" applyBorder="1" applyAlignment="1">
      <alignment vertical="center"/>
    </xf>
    <xf numFmtId="3" fontId="46" fillId="0" borderId="0" xfId="103" applyNumberFormat="1" applyFont="1" applyFill="1" applyAlignment="1">
      <alignment horizontal="center" vertical="center"/>
    </xf>
    <xf numFmtId="3" fontId="46" fillId="0" borderId="0" xfId="103" applyNumberFormat="1" applyFont="1" applyFill="1" applyAlignment="1">
      <alignment horizontal="center" vertical="center" wrapText="1"/>
    </xf>
    <xf numFmtId="0" fontId="52" fillId="0" borderId="0" xfId="112" applyFont="1" applyFill="1" applyAlignment="1">
      <alignment vertical="center"/>
    </xf>
    <xf numFmtId="0" fontId="50" fillId="0" borderId="48" xfId="112" applyFont="1" applyFill="1" applyBorder="1" applyAlignment="1">
      <alignment horizontal="center" vertical="center" wrapText="1"/>
    </xf>
    <xf numFmtId="0" fontId="50" fillId="0" borderId="56" xfId="112" applyFont="1" applyFill="1" applyBorder="1" applyAlignment="1">
      <alignment horizontal="center" vertical="center" wrapText="1"/>
    </xf>
    <xf numFmtId="0" fontId="50" fillId="0" borderId="47" xfId="112" applyFont="1" applyFill="1" applyBorder="1" applyAlignment="1">
      <alignment horizontal="center" vertical="center" wrapText="1"/>
    </xf>
    <xf numFmtId="0" fontId="50" fillId="0" borderId="68" xfId="112" applyFont="1" applyFill="1" applyBorder="1" applyAlignment="1">
      <alignment horizontal="center" vertical="center" wrapText="1"/>
    </xf>
    <xf numFmtId="0" fontId="50" fillId="0" borderId="70" xfId="112" applyFont="1" applyFill="1" applyBorder="1" applyAlignment="1">
      <alignment horizontal="center" vertical="center" wrapText="1"/>
    </xf>
    <xf numFmtId="3" fontId="52" fillId="0" borderId="44" xfId="112" applyNumberFormat="1" applyFont="1" applyFill="1" applyBorder="1" applyAlignment="1">
      <alignment horizontal="right" vertical="center"/>
    </xf>
    <xf numFmtId="3" fontId="52" fillId="0" borderId="45" xfId="112" applyNumberFormat="1" applyFont="1" applyFill="1" applyBorder="1" applyAlignment="1">
      <alignment horizontal="right" vertical="center"/>
    </xf>
    <xf numFmtId="3" fontId="52" fillId="0" borderId="46" xfId="112" applyNumberFormat="1" applyFont="1" applyFill="1" applyBorder="1" applyAlignment="1">
      <alignment horizontal="right" vertical="center"/>
    </xf>
    <xf numFmtId="3" fontId="52" fillId="0" borderId="62" xfId="112" applyNumberFormat="1" applyFont="1" applyFill="1" applyBorder="1" applyAlignment="1">
      <alignment horizontal="right" vertical="center"/>
    </xf>
    <xf numFmtId="3" fontId="52" fillId="0" borderId="78" xfId="112" applyNumberFormat="1" applyFont="1" applyFill="1" applyBorder="1" applyAlignment="1">
      <alignment horizontal="right" vertical="center"/>
    </xf>
    <xf numFmtId="3" fontId="52" fillId="0" borderId="32" xfId="112" applyNumberFormat="1" applyFont="1" applyFill="1" applyBorder="1" applyAlignment="1">
      <alignment horizontal="right" vertical="center"/>
    </xf>
    <xf numFmtId="3" fontId="52" fillId="0" borderId="1" xfId="112" applyNumberFormat="1" applyFont="1" applyFill="1" applyBorder="1" applyAlignment="1">
      <alignment horizontal="right" vertical="center"/>
    </xf>
    <xf numFmtId="3" fontId="52" fillId="0" borderId="29" xfId="112" applyNumberFormat="1" applyFont="1" applyFill="1" applyBorder="1" applyAlignment="1">
      <alignment horizontal="right" vertical="center"/>
    </xf>
    <xf numFmtId="3" fontId="52" fillId="0" borderId="3" xfId="112" applyNumberFormat="1" applyFont="1" applyFill="1" applyBorder="1" applyAlignment="1">
      <alignment horizontal="right" vertical="center"/>
    </xf>
    <xf numFmtId="3" fontId="52" fillId="0" borderId="2" xfId="112" applyNumberFormat="1" applyFont="1" applyFill="1" applyBorder="1" applyAlignment="1">
      <alignment horizontal="right" vertical="center"/>
    </xf>
    <xf numFmtId="3" fontId="52" fillId="0" borderId="77" xfId="112" applyNumberFormat="1" applyFont="1" applyFill="1" applyBorder="1" applyAlignment="1">
      <alignment horizontal="right" vertical="center"/>
    </xf>
    <xf numFmtId="3" fontId="52" fillId="0" borderId="6" xfId="112" applyNumberFormat="1" applyFont="1" applyFill="1" applyBorder="1" applyAlignment="1">
      <alignment horizontal="right" vertical="center"/>
    </xf>
    <xf numFmtId="3" fontId="52" fillId="0" borderId="10" xfId="112" applyNumberFormat="1" applyFont="1" applyFill="1" applyBorder="1" applyAlignment="1">
      <alignment horizontal="right" vertical="center"/>
    </xf>
    <xf numFmtId="3" fontId="52" fillId="0" borderId="47" xfId="112" applyNumberFormat="1" applyFont="1" applyFill="1" applyBorder="1" applyAlignment="1">
      <alignment horizontal="right" vertical="center"/>
    </xf>
    <xf numFmtId="3" fontId="52" fillId="0" borderId="48" xfId="112" applyNumberFormat="1" applyFont="1" applyFill="1" applyBorder="1" applyAlignment="1">
      <alignment horizontal="right" vertical="center"/>
    </xf>
    <xf numFmtId="3" fontId="52" fillId="0" borderId="56" xfId="112" applyNumberFormat="1" applyFont="1" applyFill="1" applyBorder="1" applyAlignment="1">
      <alignment horizontal="right" vertical="center"/>
    </xf>
    <xf numFmtId="3" fontId="52" fillId="0" borderId="68" xfId="112" applyNumberFormat="1" applyFont="1" applyFill="1" applyBorder="1" applyAlignment="1">
      <alignment horizontal="right" vertical="center"/>
    </xf>
    <xf numFmtId="3" fontId="52" fillId="0" borderId="70" xfId="112" applyNumberFormat="1" applyFont="1" applyFill="1" applyBorder="1" applyAlignment="1">
      <alignment horizontal="right" vertical="center"/>
    </xf>
    <xf numFmtId="3" fontId="52" fillId="0" borderId="41" xfId="112" applyNumberFormat="1" applyFont="1" applyFill="1" applyBorder="1" applyAlignment="1">
      <alignment horizontal="right" vertical="center"/>
    </xf>
    <xf numFmtId="3" fontId="52" fillId="0" borderId="8" xfId="112" applyNumberFormat="1" applyFont="1" applyFill="1" applyBorder="1" applyAlignment="1">
      <alignment horizontal="right" vertical="center"/>
    </xf>
    <xf numFmtId="3" fontId="52" fillId="0" borderId="52" xfId="112" applyNumberFormat="1" applyFont="1" applyFill="1" applyBorder="1" applyAlignment="1">
      <alignment horizontal="right" vertical="center"/>
    </xf>
    <xf numFmtId="3" fontId="52" fillId="0" borderId="53" xfId="112" applyNumberFormat="1" applyFont="1" applyFill="1" applyBorder="1" applyAlignment="1">
      <alignment horizontal="right" vertical="center"/>
    </xf>
    <xf numFmtId="3" fontId="52" fillId="0" borderId="54" xfId="112" applyNumberFormat="1" applyFont="1" applyFill="1" applyBorder="1" applyAlignment="1">
      <alignment horizontal="right" vertical="center"/>
    </xf>
    <xf numFmtId="3" fontId="52" fillId="0" borderId="82" xfId="112" applyNumberFormat="1" applyFont="1" applyFill="1" applyBorder="1" applyAlignment="1">
      <alignment horizontal="right" vertical="center"/>
    </xf>
    <xf numFmtId="0" fontId="50" fillId="0" borderId="0" xfId="112" applyFont="1" applyFill="1" applyAlignment="1">
      <alignment vertical="center"/>
    </xf>
    <xf numFmtId="3" fontId="52" fillId="0" borderId="81" xfId="112" applyNumberFormat="1" applyFont="1" applyFill="1" applyBorder="1" applyAlignment="1">
      <alignment horizontal="right" vertical="center"/>
    </xf>
    <xf numFmtId="3" fontId="52" fillId="0" borderId="60" xfId="112" applyNumberFormat="1" applyFont="1" applyFill="1" applyBorder="1" applyAlignment="1">
      <alignment horizontal="right" vertical="center"/>
    </xf>
    <xf numFmtId="3" fontId="52" fillId="0" borderId="61" xfId="112" applyNumberFormat="1" applyFont="1" applyFill="1" applyBorder="1" applyAlignment="1">
      <alignment horizontal="right" vertical="center"/>
    </xf>
    <xf numFmtId="3" fontId="52" fillId="0" borderId="80" xfId="112" applyNumberFormat="1" applyFont="1" applyFill="1" applyBorder="1" applyAlignment="1">
      <alignment horizontal="right" vertical="center"/>
    </xf>
    <xf numFmtId="3" fontId="52" fillId="0" borderId="59" xfId="112" applyNumberFormat="1" applyFont="1" applyFill="1" applyBorder="1" applyAlignment="1">
      <alignment horizontal="right" vertical="center"/>
    </xf>
    <xf numFmtId="49" fontId="50" fillId="0" borderId="0" xfId="112" applyNumberFormat="1" applyFont="1" applyFill="1" applyAlignment="1">
      <alignment horizontal="center" vertical="center"/>
    </xf>
    <xf numFmtId="3" fontId="50" fillId="0" borderId="0" xfId="112" applyNumberFormat="1" applyFont="1" applyFill="1" applyAlignment="1">
      <alignment horizontal="center" vertical="center" wrapText="1"/>
    </xf>
    <xf numFmtId="0" fontId="52" fillId="0" borderId="0" xfId="112" applyFont="1" applyFill="1" applyBorder="1" applyAlignment="1">
      <alignment vertical="center"/>
    </xf>
    <xf numFmtId="3" fontId="52" fillId="0" borderId="0" xfId="112" applyNumberFormat="1" applyFont="1" applyFill="1" applyAlignment="1">
      <alignment vertical="center"/>
    </xf>
    <xf numFmtId="0" fontId="50" fillId="0" borderId="0" xfId="112" applyFont="1" applyFill="1" applyAlignment="1">
      <alignment horizontal="center" vertical="center" wrapText="1"/>
    </xf>
    <xf numFmtId="0" fontId="51" fillId="0" borderId="3" xfId="114" applyFont="1" applyFill="1" applyBorder="1" applyAlignment="1">
      <alignment vertical="center" wrapText="1"/>
    </xf>
    <xf numFmtId="0" fontId="50" fillId="0" borderId="0" xfId="113" applyFont="1" applyFill="1" applyAlignment="1">
      <alignment vertical="center"/>
    </xf>
    <xf numFmtId="0" fontId="51" fillId="0" borderId="1" xfId="114" applyFont="1" applyFill="1" applyBorder="1" applyAlignment="1">
      <alignment horizontal="center" vertical="center" wrapText="1"/>
    </xf>
    <xf numFmtId="3" fontId="52" fillId="0" borderId="0" xfId="113" applyNumberFormat="1" applyFont="1" applyFill="1" applyAlignment="1">
      <alignment vertical="center"/>
    </xf>
    <xf numFmtId="0" fontId="51" fillId="0" borderId="1" xfId="114" applyFont="1" applyFill="1" applyBorder="1" applyAlignment="1">
      <alignment vertical="center" wrapText="1"/>
    </xf>
    <xf numFmtId="0" fontId="50" fillId="0" borderId="3" xfId="113" applyFont="1" applyFill="1" applyBorder="1" applyAlignment="1">
      <alignment vertical="center" wrapText="1"/>
    </xf>
    <xf numFmtId="0" fontId="50" fillId="0" borderId="1" xfId="113" applyFont="1" applyFill="1" applyBorder="1" applyAlignment="1">
      <alignment horizontal="center" vertical="center" wrapText="1"/>
    </xf>
    <xf numFmtId="0" fontId="50" fillId="0" borderId="1" xfId="113" applyFont="1" applyFill="1" applyBorder="1" applyAlignment="1">
      <alignment vertical="center" wrapText="1"/>
    </xf>
    <xf numFmtId="3" fontId="52" fillId="0" borderId="1" xfId="113" applyNumberFormat="1" applyFont="1" applyFill="1" applyBorder="1" applyAlignment="1">
      <alignment vertical="center"/>
    </xf>
    <xf numFmtId="3" fontId="52" fillId="0" borderId="0" xfId="113" applyNumberFormat="1" applyFont="1" applyFill="1" applyBorder="1" applyAlignment="1">
      <alignment vertical="center"/>
    </xf>
    <xf numFmtId="3" fontId="52" fillId="0" borderId="6" xfId="113" applyNumberFormat="1" applyFont="1" applyFill="1" applyBorder="1" applyAlignment="1">
      <alignment vertical="center"/>
    </xf>
    <xf numFmtId="3" fontId="52" fillId="0" borderId="50" xfId="113" applyNumberFormat="1" applyFont="1" applyFill="1" applyBorder="1" applyAlignment="1">
      <alignment vertical="center"/>
    </xf>
    <xf numFmtId="0" fontId="45" fillId="0" borderId="0" xfId="108" applyFont="1" applyFill="1"/>
    <xf numFmtId="0" fontId="45" fillId="0" borderId="0" xfId="108" applyFont="1" applyFill="1" applyAlignment="1">
      <alignment vertical="center"/>
    </xf>
    <xf numFmtId="0" fontId="46" fillId="0" borderId="1" xfId="108" applyFont="1" applyFill="1" applyBorder="1" applyAlignment="1">
      <alignment horizontal="center" vertical="center" wrapText="1"/>
    </xf>
    <xf numFmtId="49" fontId="45" fillId="0" borderId="1" xfId="106" applyNumberFormat="1" applyFont="1" applyFill="1" applyBorder="1" applyAlignment="1">
      <alignment vertical="center"/>
    </xf>
    <xf numFmtId="1" fontId="45" fillId="0" borderId="1" xfId="108" applyNumberFormat="1" applyFont="1" applyFill="1" applyBorder="1" applyAlignment="1">
      <alignment horizontal="left" vertical="center"/>
    </xf>
    <xf numFmtId="1" fontId="46" fillId="0" borderId="1" xfId="108" applyNumberFormat="1" applyFont="1" applyFill="1" applyBorder="1" applyAlignment="1">
      <alignment horizontal="center" vertical="center" wrapText="1"/>
    </xf>
    <xf numFmtId="0" fontId="45" fillId="0" borderId="1" xfId="106" applyFont="1" applyFill="1" applyBorder="1" applyAlignment="1">
      <alignment vertical="center" wrapText="1"/>
    </xf>
    <xf numFmtId="0" fontId="45" fillId="0" borderId="1" xfId="108" applyFont="1" applyFill="1" applyBorder="1" applyAlignment="1">
      <alignment horizontal="center" vertical="center" wrapText="1"/>
    </xf>
    <xf numFmtId="3" fontId="45" fillId="0" borderId="1" xfId="108" applyNumberFormat="1" applyFont="1" applyFill="1" applyBorder="1" applyAlignment="1">
      <alignment horizontal="right" vertical="center"/>
    </xf>
    <xf numFmtId="3" fontId="46" fillId="0" borderId="1" xfId="108" applyNumberFormat="1" applyFont="1" applyFill="1" applyBorder="1" applyAlignment="1">
      <alignment horizontal="right" vertical="center" wrapText="1"/>
    </xf>
    <xf numFmtId="3" fontId="46" fillId="0" borderId="1" xfId="108" applyNumberFormat="1" applyFont="1" applyFill="1" applyBorder="1" applyAlignment="1">
      <alignment horizontal="right" vertical="center"/>
    </xf>
    <xf numFmtId="0" fontId="45" fillId="0" borderId="1" xfId="108" applyFont="1" applyFill="1" applyBorder="1" applyAlignment="1">
      <alignment horizontal="right" vertical="center"/>
    </xf>
    <xf numFmtId="3" fontId="45" fillId="0" borderId="1" xfId="108" applyNumberFormat="1" applyFont="1" applyFill="1" applyBorder="1" applyAlignment="1">
      <alignment horizontal="right" vertical="center" wrapText="1"/>
    </xf>
    <xf numFmtId="0" fontId="45" fillId="0" borderId="1" xfId="108" applyFont="1" applyFill="1" applyBorder="1" applyAlignment="1">
      <alignment horizontal="right" vertical="center" wrapText="1"/>
    </xf>
    <xf numFmtId="1" fontId="45" fillId="0" borderId="1" xfId="108" applyNumberFormat="1" applyFont="1" applyFill="1" applyBorder="1" applyAlignment="1">
      <alignment horizontal="left" vertical="center" wrapText="1"/>
    </xf>
    <xf numFmtId="1" fontId="46" fillId="0" borderId="1" xfId="108" applyNumberFormat="1" applyFont="1" applyFill="1" applyBorder="1" applyAlignment="1">
      <alignment horizontal="left" vertical="center" wrapText="1"/>
    </xf>
    <xf numFmtId="1" fontId="46" fillId="0" borderId="5" xfId="108" applyNumberFormat="1" applyFont="1" applyFill="1" applyBorder="1" applyAlignment="1">
      <alignment horizontal="center" vertical="center" wrapText="1"/>
    </xf>
    <xf numFmtId="0" fontId="45" fillId="0" borderId="1" xfId="108" applyFont="1" applyFill="1" applyBorder="1" applyAlignment="1">
      <alignment horizontal="left" vertical="center" wrapText="1"/>
    </xf>
    <xf numFmtId="3" fontId="45" fillId="0" borderId="1" xfId="108" applyNumberFormat="1" applyFont="1" applyFill="1" applyBorder="1" applyAlignment="1">
      <alignment vertical="center"/>
    </xf>
    <xf numFmtId="0" fontId="45" fillId="0" borderId="1" xfId="108" applyFont="1" applyFill="1" applyBorder="1" applyAlignment="1">
      <alignment vertical="center" wrapText="1"/>
    </xf>
    <xf numFmtId="3" fontId="45" fillId="0" borderId="1" xfId="108" applyNumberFormat="1" applyFont="1" applyFill="1" applyBorder="1" applyAlignment="1">
      <alignment vertical="center" wrapText="1"/>
    </xf>
    <xf numFmtId="0" fontId="45" fillId="0" borderId="1" xfId="106" applyFont="1" applyFill="1" applyBorder="1" applyAlignment="1">
      <alignment vertical="center"/>
    </xf>
    <xf numFmtId="1" fontId="45" fillId="0" borderId="1" xfId="108" applyNumberFormat="1" applyFont="1" applyFill="1" applyBorder="1" applyAlignment="1">
      <alignment vertical="center"/>
    </xf>
    <xf numFmtId="1" fontId="45" fillId="0" borderId="1" xfId="108" applyNumberFormat="1" applyFont="1" applyFill="1" applyBorder="1" applyAlignment="1">
      <alignment horizontal="center" vertical="center"/>
    </xf>
    <xf numFmtId="0" fontId="46" fillId="0" borderId="1" xfId="106" applyFont="1" applyFill="1" applyBorder="1" applyAlignment="1">
      <alignment vertical="center" wrapText="1"/>
    </xf>
    <xf numFmtId="0" fontId="46" fillId="0" borderId="1" xfId="108" applyFont="1" applyFill="1" applyBorder="1" applyAlignment="1">
      <alignment vertical="center" wrapText="1"/>
    </xf>
    <xf numFmtId="0" fontId="46" fillId="0" borderId="1" xfId="108" applyFont="1" applyFill="1" applyBorder="1" applyAlignment="1">
      <alignment horizontal="right" vertical="center" wrapText="1"/>
    </xf>
    <xf numFmtId="0" fontId="45" fillId="0" borderId="43" xfId="109" applyFont="1" applyFill="1" applyBorder="1" applyAlignment="1">
      <alignment vertical="center" wrapText="1"/>
    </xf>
    <xf numFmtId="0" fontId="46" fillId="0" borderId="15" xfId="108" applyFont="1" applyFill="1" applyBorder="1" applyAlignment="1">
      <alignment horizontal="right" vertical="center" wrapText="1"/>
    </xf>
    <xf numFmtId="3" fontId="45" fillId="0" borderId="0" xfId="108" applyNumberFormat="1" applyFont="1" applyFill="1" applyAlignment="1">
      <alignment vertical="center"/>
    </xf>
    <xf numFmtId="0" fontId="46" fillId="0" borderId="5" xfId="108" applyFont="1" applyFill="1" applyBorder="1" applyAlignment="1">
      <alignment vertical="center" wrapText="1"/>
    </xf>
    <xf numFmtId="0" fontId="45" fillId="0" borderId="1" xfId="106" applyFont="1" applyFill="1" applyBorder="1" applyAlignment="1">
      <alignment horizontal="left" vertical="center" wrapText="1"/>
    </xf>
    <xf numFmtId="3" fontId="46" fillId="0" borderId="6" xfId="108" applyNumberFormat="1" applyFont="1" applyFill="1" applyBorder="1" applyAlignment="1">
      <alignment horizontal="right" vertical="center"/>
    </xf>
    <xf numFmtId="3" fontId="46" fillId="0" borderId="1" xfId="108" applyNumberFormat="1" applyFont="1" applyFill="1" applyBorder="1" applyAlignment="1">
      <alignment vertical="center" wrapText="1"/>
    </xf>
    <xf numFmtId="0" fontId="46" fillId="0" borderId="5" xfId="108" applyFont="1" applyFill="1" applyBorder="1" applyAlignment="1">
      <alignment horizontal="right" vertical="center" wrapText="1"/>
    </xf>
    <xf numFmtId="3" fontId="46" fillId="0" borderId="5" xfId="108" applyNumberFormat="1" applyFont="1" applyFill="1" applyBorder="1" applyAlignment="1">
      <alignment horizontal="right" vertical="center"/>
    </xf>
    <xf numFmtId="1" fontId="45" fillId="0" borderId="5" xfId="108" applyNumberFormat="1" applyFont="1" applyFill="1" applyBorder="1" applyAlignment="1">
      <alignment horizontal="center" vertical="center" wrapText="1"/>
    </xf>
    <xf numFmtId="3" fontId="45" fillId="0" borderId="1" xfId="108" applyNumberFormat="1" applyFont="1" applyFill="1" applyBorder="1" applyAlignment="1">
      <alignment horizontal="center" vertical="center"/>
    </xf>
    <xf numFmtId="3" fontId="45" fillId="0" borderId="0" xfId="108" applyNumberFormat="1" applyFont="1" applyFill="1" applyAlignment="1">
      <alignment horizontal="center" vertical="center"/>
    </xf>
    <xf numFmtId="49" fontId="45" fillId="0" borderId="0" xfId="108" applyNumberFormat="1" applyFont="1" applyFill="1"/>
    <xf numFmtId="3" fontId="45" fillId="0" borderId="0" xfId="108" applyNumberFormat="1" applyFont="1" applyFill="1" applyAlignment="1">
      <alignment horizontal="left"/>
    </xf>
    <xf numFmtId="3" fontId="45" fillId="0" borderId="0" xfId="108" applyNumberFormat="1" applyFont="1" applyFill="1"/>
    <xf numFmtId="3" fontId="45" fillId="0" borderId="0" xfId="108" applyNumberFormat="1" applyFont="1" applyFill="1" applyAlignment="1">
      <alignment horizontal="center"/>
    </xf>
    <xf numFmtId="0" fontId="46" fillId="0" borderId="0" xfId="108" applyFont="1" applyFill="1"/>
    <xf numFmtId="0" fontId="45" fillId="0" borderId="0" xfId="108" applyFont="1" applyFill="1" applyAlignment="1">
      <alignment horizontal="center" vertical="center"/>
    </xf>
    <xf numFmtId="0" fontId="45" fillId="0" borderId="0" xfId="108" applyFont="1" applyFill="1" applyAlignment="1">
      <alignment horizontal="left"/>
    </xf>
    <xf numFmtId="0" fontId="45" fillId="0" borderId="0" xfId="108" applyFont="1" applyFill="1" applyAlignment="1">
      <alignment horizontal="center"/>
    </xf>
    <xf numFmtId="49" fontId="50" fillId="0" borderId="0" xfId="113" applyNumberFormat="1" applyFont="1" applyFill="1" applyAlignment="1">
      <alignment horizontal="center" vertical="center"/>
    </xf>
    <xf numFmtId="0" fontId="50" fillId="0" borderId="0" xfId="113" applyFont="1" applyFill="1" applyAlignment="1">
      <alignment horizontal="center" vertical="center" wrapText="1"/>
    </xf>
    <xf numFmtId="0" fontId="52" fillId="0" borderId="0" xfId="113" applyFont="1" applyFill="1" applyBorder="1" applyAlignment="1">
      <alignment vertical="center"/>
    </xf>
    <xf numFmtId="0" fontId="52" fillId="0" borderId="0" xfId="113" applyFont="1" applyFill="1" applyAlignment="1">
      <alignment vertical="center"/>
    </xf>
    <xf numFmtId="0" fontId="50" fillId="0" borderId="48" xfId="113" applyFont="1" applyFill="1" applyBorder="1" applyAlignment="1">
      <alignment horizontal="center" vertical="center" wrapText="1"/>
    </xf>
    <xf numFmtId="3" fontId="52" fillId="0" borderId="45" xfId="113" applyNumberFormat="1" applyFont="1" applyFill="1" applyBorder="1" applyAlignment="1">
      <alignment horizontal="right" vertical="center"/>
    </xf>
    <xf numFmtId="3" fontId="52" fillId="0" borderId="46" xfId="113" applyNumberFormat="1" applyFont="1" applyFill="1" applyBorder="1" applyAlignment="1">
      <alignment horizontal="right" vertical="center"/>
    </xf>
    <xf numFmtId="3" fontId="52" fillId="0" borderId="1" xfId="113" applyNumberFormat="1" applyFont="1" applyFill="1" applyBorder="1" applyAlignment="1">
      <alignment horizontal="right" vertical="center"/>
    </xf>
    <xf numFmtId="3" fontId="52" fillId="0" borderId="29" xfId="113" applyNumberFormat="1" applyFont="1" applyFill="1" applyBorder="1" applyAlignment="1">
      <alignment horizontal="right" vertical="center"/>
    </xf>
    <xf numFmtId="3" fontId="52" fillId="0" borderId="50" xfId="113" applyNumberFormat="1" applyFont="1" applyFill="1" applyBorder="1" applyAlignment="1">
      <alignment horizontal="right" vertical="center"/>
    </xf>
    <xf numFmtId="3" fontId="52" fillId="0" borderId="51" xfId="113" applyNumberFormat="1" applyFont="1" applyFill="1" applyBorder="1" applyAlignment="1">
      <alignment horizontal="right" vertical="center"/>
    </xf>
    <xf numFmtId="3" fontId="52" fillId="0" borderId="53" xfId="113" applyNumberFormat="1" applyFont="1" applyFill="1" applyBorder="1" applyAlignment="1">
      <alignment horizontal="right" vertical="center"/>
    </xf>
    <xf numFmtId="3" fontId="52" fillId="0" borderId="48" xfId="113" applyNumberFormat="1" applyFont="1" applyFill="1" applyBorder="1" applyAlignment="1">
      <alignment horizontal="right" vertical="center"/>
    </xf>
    <xf numFmtId="3" fontId="52" fillId="0" borderId="54" xfId="113" applyNumberFormat="1" applyFont="1" applyFill="1" applyBorder="1" applyAlignment="1">
      <alignment horizontal="right" vertical="center"/>
    </xf>
    <xf numFmtId="3" fontId="52" fillId="0" borderId="5" xfId="113" applyNumberFormat="1" applyFont="1" applyFill="1" applyBorder="1" applyAlignment="1">
      <alignment horizontal="right" vertical="center"/>
    </xf>
    <xf numFmtId="3" fontId="52" fillId="0" borderId="41" xfId="113" applyNumberFormat="1" applyFont="1" applyFill="1" applyBorder="1" applyAlignment="1">
      <alignment horizontal="right" vertical="center"/>
    </xf>
    <xf numFmtId="3" fontId="52" fillId="0" borderId="60" xfId="113" applyNumberFormat="1" applyFont="1" applyFill="1" applyBorder="1" applyAlignment="1">
      <alignment horizontal="right" vertical="center"/>
    </xf>
    <xf numFmtId="3" fontId="52" fillId="0" borderId="61" xfId="113" applyNumberFormat="1" applyFont="1" applyFill="1" applyBorder="1" applyAlignment="1">
      <alignment horizontal="right" vertical="center"/>
    </xf>
    <xf numFmtId="3" fontId="50" fillId="0" borderId="0" xfId="113" applyNumberFormat="1" applyFont="1" applyFill="1" applyAlignment="1">
      <alignment horizontal="center" vertical="center" wrapText="1"/>
    </xf>
    <xf numFmtId="0" fontId="50" fillId="0" borderId="1" xfId="113" applyFont="1" applyFill="1" applyBorder="1" applyAlignment="1">
      <alignment vertical="center"/>
    </xf>
    <xf numFmtId="0" fontId="50" fillId="0" borderId="14" xfId="113" applyFont="1" applyFill="1" applyBorder="1" applyAlignment="1">
      <alignment vertical="center"/>
    </xf>
    <xf numFmtId="0" fontId="31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3" fontId="45" fillId="0" borderId="6" xfId="103" applyNumberFormat="1" applyFont="1" applyFill="1" applyBorder="1" applyAlignment="1">
      <alignment horizontal="right" vertical="center"/>
    </xf>
    <xf numFmtId="3" fontId="45" fillId="0" borderId="1" xfId="103" applyNumberFormat="1" applyFont="1" applyFill="1" applyBorder="1" applyAlignment="1">
      <alignment horizontal="right" vertical="center" wrapText="1"/>
    </xf>
    <xf numFmtId="0" fontId="46" fillId="0" borderId="6" xfId="103" applyFont="1" applyFill="1" applyBorder="1" applyAlignment="1">
      <alignment horizontal="center" vertical="center" wrapText="1"/>
    </xf>
    <xf numFmtId="0" fontId="46" fillId="0" borderId="15" xfId="103" applyFont="1" applyFill="1" applyBorder="1" applyAlignment="1">
      <alignment horizontal="center" vertical="center" wrapText="1"/>
    </xf>
    <xf numFmtId="3" fontId="45" fillId="0" borderId="5" xfId="103" applyNumberFormat="1" applyFont="1" applyFill="1" applyBorder="1" applyAlignment="1">
      <alignment horizontal="right" vertical="center" wrapText="1"/>
    </xf>
    <xf numFmtId="0" fontId="46" fillId="0" borderId="10" xfId="103" applyFont="1" applyFill="1" applyBorder="1" applyAlignment="1">
      <alignment horizontal="center" vertical="center" wrapText="1"/>
    </xf>
    <xf numFmtId="0" fontId="46" fillId="0" borderId="13" xfId="103" applyFont="1" applyFill="1" applyBorder="1" applyAlignment="1">
      <alignment horizontal="center" vertical="center" wrapText="1"/>
    </xf>
    <xf numFmtId="0" fontId="46" fillId="0" borderId="1" xfId="103" applyFont="1" applyFill="1" applyBorder="1" applyAlignment="1">
      <alignment horizontal="center" vertical="center" wrapText="1"/>
    </xf>
    <xf numFmtId="0" fontId="46" fillId="0" borderId="2" xfId="103" applyFont="1" applyFill="1" applyBorder="1" applyAlignment="1">
      <alignment horizontal="center" vertical="center" wrapText="1"/>
    </xf>
    <xf numFmtId="0" fontId="46" fillId="0" borderId="5" xfId="103" applyFont="1" applyFill="1" applyBorder="1" applyAlignment="1">
      <alignment horizontal="center" vertical="center" wrapText="1"/>
    </xf>
    <xf numFmtId="0" fontId="46" fillId="0" borderId="1" xfId="104" applyFont="1" applyFill="1" applyBorder="1" applyAlignment="1">
      <alignment horizontal="center" vertical="center" wrapText="1"/>
    </xf>
    <xf numFmtId="3" fontId="46" fillId="0" borderId="6" xfId="103" applyNumberFormat="1" applyFont="1" applyFill="1" applyBorder="1" applyAlignment="1">
      <alignment horizontal="right" vertical="center"/>
    </xf>
    <xf numFmtId="3" fontId="46" fillId="0" borderId="15" xfId="103" applyNumberFormat="1" applyFont="1" applyFill="1" applyBorder="1" applyAlignment="1">
      <alignment horizontal="right" vertical="center"/>
    </xf>
    <xf numFmtId="3" fontId="46" fillId="0" borderId="5" xfId="103" applyNumberFormat="1" applyFont="1" applyFill="1" applyBorder="1" applyAlignment="1">
      <alignment horizontal="right" vertical="center"/>
    </xf>
    <xf numFmtId="1" fontId="46" fillId="0" borderId="1" xfId="103" applyNumberFormat="1" applyFont="1" applyFill="1" applyBorder="1" applyAlignment="1">
      <alignment horizontal="center" vertical="center" wrapText="1"/>
    </xf>
    <xf numFmtId="1" fontId="46" fillId="0" borderId="6" xfId="103" applyNumberFormat="1" applyFont="1" applyFill="1" applyBorder="1" applyAlignment="1">
      <alignment horizontal="center" vertical="center" wrapText="1"/>
    </xf>
    <xf numFmtId="1" fontId="46" fillId="0" borderId="15" xfId="103" applyNumberFormat="1" applyFont="1" applyFill="1" applyBorder="1" applyAlignment="1">
      <alignment horizontal="center" vertical="center" wrapText="1"/>
    </xf>
    <xf numFmtId="1" fontId="46" fillId="0" borderId="5" xfId="103" applyNumberFormat="1" applyFont="1" applyFill="1" applyBorder="1" applyAlignment="1">
      <alignment horizontal="center" vertical="center" wrapText="1"/>
    </xf>
    <xf numFmtId="3" fontId="46" fillId="0" borderId="1" xfId="103" applyNumberFormat="1" applyFont="1" applyFill="1" applyBorder="1" applyAlignment="1">
      <alignment horizontal="right" vertical="center"/>
    </xf>
    <xf numFmtId="3" fontId="46" fillId="0" borderId="6" xfId="103" applyNumberFormat="1" applyFont="1" applyFill="1" applyBorder="1" applyAlignment="1">
      <alignment horizontal="right" vertical="center" wrapText="1"/>
    </xf>
    <xf numFmtId="0" fontId="46" fillId="0" borderId="15" xfId="103" applyFont="1" applyFill="1" applyBorder="1" applyAlignment="1">
      <alignment horizontal="right" vertical="center" wrapText="1"/>
    </xf>
    <xf numFmtId="0" fontId="46" fillId="0" borderId="5" xfId="103" applyFont="1" applyFill="1" applyBorder="1" applyAlignment="1">
      <alignment horizontal="right" vertical="center" wrapText="1"/>
    </xf>
    <xf numFmtId="0" fontId="46" fillId="0" borderId="6" xfId="103" applyFont="1" applyFill="1" applyBorder="1" applyAlignment="1">
      <alignment horizontal="right" vertical="center" wrapText="1"/>
    </xf>
    <xf numFmtId="3" fontId="46" fillId="0" borderId="15" xfId="103" applyNumberFormat="1" applyFont="1" applyFill="1" applyBorder="1" applyAlignment="1">
      <alignment horizontal="right" vertical="center" wrapText="1"/>
    </xf>
    <xf numFmtId="3" fontId="46" fillId="0" borderId="5" xfId="103" applyNumberFormat="1" applyFont="1" applyFill="1" applyBorder="1" applyAlignment="1">
      <alignment horizontal="right" vertical="center" wrapText="1"/>
    </xf>
    <xf numFmtId="0" fontId="46" fillId="0" borderId="6" xfId="104" applyFont="1" applyFill="1" applyBorder="1" applyAlignment="1">
      <alignment horizontal="center" vertical="center" wrapText="1"/>
    </xf>
    <xf numFmtId="0" fontId="50" fillId="0" borderId="1" xfId="113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28" fillId="0" borderId="0" xfId="77" applyFont="1" applyAlignment="1">
      <alignment horizontal="left" vertical="center" wrapText="1"/>
    </xf>
    <xf numFmtId="0" fontId="23" fillId="0" borderId="0" xfId="77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52" fillId="0" borderId="0" xfId="113" applyFont="1" applyFill="1" applyAlignment="1">
      <alignment horizontal="right" vertical="center"/>
    </xf>
    <xf numFmtId="3" fontId="52" fillId="0" borderId="1" xfId="113" applyNumberFormat="1" applyFont="1" applyFill="1" applyBorder="1" applyAlignment="1">
      <alignment horizontal="center" vertical="center"/>
    </xf>
    <xf numFmtId="0" fontId="50" fillId="0" borderId="1" xfId="113" applyFont="1" applyFill="1" applyBorder="1" applyAlignment="1">
      <alignment horizontal="center" vertical="center"/>
    </xf>
    <xf numFmtId="0" fontId="46" fillId="0" borderId="0" xfId="103" applyFont="1" applyFill="1" applyAlignment="1">
      <alignment vertical="center"/>
    </xf>
    <xf numFmtId="0" fontId="45" fillId="0" borderId="1" xfId="103" applyFont="1" applyFill="1" applyBorder="1" applyAlignment="1">
      <alignment horizontal="center" vertical="center" wrapText="1"/>
    </xf>
    <xf numFmtId="0" fontId="46" fillId="0" borderId="1" xfId="103" applyFont="1" applyFill="1" applyBorder="1" applyAlignment="1">
      <alignment vertical="center"/>
    </xf>
    <xf numFmtId="0" fontId="46" fillId="0" borderId="1" xfId="103" applyFont="1" applyFill="1" applyBorder="1" applyAlignment="1">
      <alignment horizontal="right" vertical="center"/>
    </xf>
    <xf numFmtId="0" fontId="45" fillId="0" borderId="1" xfId="107" applyFont="1" applyFill="1" applyBorder="1" applyAlignment="1">
      <alignment horizontal="right" vertical="center"/>
    </xf>
    <xf numFmtId="0" fontId="45" fillId="0" borderId="0" xfId="107" applyFont="1" applyFill="1" applyBorder="1" applyAlignment="1">
      <alignment vertical="center"/>
    </xf>
    <xf numFmtId="49" fontId="46" fillId="0" borderId="0" xfId="103" applyNumberFormat="1" applyFont="1" applyFill="1" applyAlignment="1">
      <alignment vertical="center"/>
    </xf>
    <xf numFmtId="3" fontId="46" fillId="0" borderId="0" xfId="103" applyNumberFormat="1" applyFont="1" applyFill="1" applyAlignment="1">
      <alignment vertical="center"/>
    </xf>
    <xf numFmtId="3" fontId="46" fillId="0" borderId="0" xfId="103" applyNumberFormat="1" applyFont="1" applyFill="1" applyAlignment="1">
      <alignment horizontal="right" vertical="center"/>
    </xf>
    <xf numFmtId="0" fontId="46" fillId="0" borderId="0" xfId="103" applyFont="1" applyFill="1" applyAlignment="1">
      <alignment horizontal="right" vertical="center"/>
    </xf>
    <xf numFmtId="49" fontId="45" fillId="0" borderId="0" xfId="103" applyNumberFormat="1" applyFont="1" applyFill="1" applyAlignment="1">
      <alignment vertical="center"/>
    </xf>
    <xf numFmtId="3" fontId="46" fillId="0" borderId="0" xfId="103" applyNumberFormat="1" applyFont="1" applyFill="1" applyAlignment="1">
      <alignment horizontal="left" vertical="center"/>
    </xf>
    <xf numFmtId="3" fontId="45" fillId="0" borderId="0" xfId="103" applyNumberFormat="1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3" fontId="20" fillId="0" borderId="0" xfId="0" applyNumberFormat="1" applyFont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3" fontId="32" fillId="0" borderId="1" xfId="0" applyNumberFormat="1" applyFont="1" applyBorder="1" applyAlignment="1">
      <alignment vertical="center"/>
    </xf>
    <xf numFmtId="16" fontId="32" fillId="0" borderId="1" xfId="0" applyNumberFormat="1" applyFont="1" applyBorder="1" applyAlignment="1">
      <alignment vertical="center"/>
    </xf>
    <xf numFmtId="16" fontId="20" fillId="0" borderId="1" xfId="0" applyNumberFormat="1" applyFont="1" applyBorder="1" applyAlignment="1">
      <alignment vertical="center"/>
    </xf>
    <xf numFmtId="49" fontId="32" fillId="0" borderId="1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0" fontId="26" fillId="0" borderId="1" xfId="0" applyFont="1" applyBorder="1" applyAlignment="1">
      <alignment horizontal="left" vertical="center" wrapText="1"/>
    </xf>
    <xf numFmtId="3" fontId="26" fillId="0" borderId="1" xfId="0" applyNumberFormat="1" applyFont="1" applyBorder="1" applyAlignment="1">
      <alignment horizontal="right" vertical="center"/>
    </xf>
    <xf numFmtId="3" fontId="26" fillId="0" borderId="1" xfId="0" applyNumberFormat="1" applyFont="1" applyFill="1" applyBorder="1" applyAlignment="1">
      <alignment horizontal="right" vertical="center"/>
    </xf>
    <xf numFmtId="0" fontId="26" fillId="0" borderId="1" xfId="0" applyFont="1" applyFill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0" fontId="30" fillId="0" borderId="3" xfId="0" applyFont="1" applyBorder="1" applyAlignment="1">
      <alignment horizontal="left" vertical="center"/>
    </xf>
    <xf numFmtId="1" fontId="0" fillId="0" borderId="0" xfId="0" applyNumberFormat="1" applyAlignment="1">
      <alignment vertical="center"/>
    </xf>
    <xf numFmtId="166" fontId="26" fillId="0" borderId="1" xfId="0" applyNumberFormat="1" applyFont="1" applyBorder="1" applyAlignment="1">
      <alignment horizontal="right" vertical="center"/>
    </xf>
    <xf numFmtId="166" fontId="27" fillId="0" borderId="1" xfId="0" applyNumberFormat="1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3" fontId="20" fillId="2" borderId="1" xfId="0" applyNumberFormat="1" applyFont="1" applyFill="1" applyBorder="1" applyAlignment="1">
      <alignment vertical="center"/>
    </xf>
    <xf numFmtId="0" fontId="26" fillId="0" borderId="1" xfId="0" applyFont="1" applyBorder="1" applyAlignment="1">
      <alignment horizontal="left" vertical="center"/>
    </xf>
    <xf numFmtId="166" fontId="20" fillId="0" borderId="1" xfId="0" applyNumberFormat="1" applyFont="1" applyBorder="1" applyAlignment="1">
      <alignment vertical="center"/>
    </xf>
    <xf numFmtId="166" fontId="27" fillId="0" borderId="1" xfId="0" applyNumberFormat="1" applyFont="1" applyBorder="1" applyAlignment="1">
      <alignment vertical="center"/>
    </xf>
    <xf numFmtId="0" fontId="52" fillId="0" borderId="0" xfId="112" applyFont="1" applyFill="1" applyAlignment="1">
      <alignment horizontal="right" vertical="center"/>
    </xf>
    <xf numFmtId="0" fontId="18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33" fillId="0" borderId="8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83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45" fillId="0" borderId="0" xfId="103" applyFont="1" applyFill="1" applyAlignment="1">
      <alignment horizontal="right" vertical="center"/>
    </xf>
    <xf numFmtId="3" fontId="28" fillId="0" borderId="21" xfId="57" applyNumberFormat="1" applyFont="1" applyFill="1" applyBorder="1" applyAlignment="1">
      <alignment horizontal="center" vertical="center" wrapText="1"/>
    </xf>
    <xf numFmtId="3" fontId="29" fillId="0" borderId="22" xfId="57" applyNumberFormat="1" applyFont="1" applyFill="1" applyBorder="1" applyAlignment="1">
      <alignment vertical="center"/>
    </xf>
    <xf numFmtId="3" fontId="29" fillId="0" borderId="22" xfId="55" applyNumberFormat="1" applyFont="1" applyFill="1" applyBorder="1" applyAlignment="1">
      <alignment vertical="center"/>
    </xf>
    <xf numFmtId="0" fontId="28" fillId="0" borderId="0" xfId="0" applyFont="1"/>
    <xf numFmtId="0" fontId="28" fillId="0" borderId="1" xfId="0" applyFont="1" applyBorder="1" applyAlignment="1"/>
    <xf numFmtId="0" fontId="28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8" fillId="0" borderId="1" xfId="0" applyFont="1" applyBorder="1"/>
    <xf numFmtId="3" fontId="28" fillId="0" borderId="1" xfId="0" applyNumberFormat="1" applyFont="1" applyBorder="1"/>
    <xf numFmtId="3" fontId="28" fillId="0" borderId="1" xfId="0" applyNumberFormat="1" applyFont="1" applyFill="1" applyBorder="1"/>
    <xf numFmtId="0" fontId="28" fillId="0" borderId="1" xfId="0" applyFont="1" applyFill="1" applyBorder="1"/>
    <xf numFmtId="0" fontId="29" fillId="0" borderId="1" xfId="0" applyFont="1" applyBorder="1"/>
    <xf numFmtId="3" fontId="29" fillId="0" borderId="1" xfId="0" applyNumberFormat="1" applyFont="1" applyBorder="1"/>
    <xf numFmtId="3" fontId="29" fillId="0" borderId="1" xfId="0" applyNumberFormat="1" applyFont="1" applyFill="1" applyBorder="1"/>
    <xf numFmtId="0" fontId="28" fillId="0" borderId="0" xfId="0" applyFont="1" applyFill="1"/>
    <xf numFmtId="0" fontId="29" fillId="0" borderId="1" xfId="0" applyFont="1" applyBorder="1" applyAlignment="1">
      <alignment horizontal="right"/>
    </xf>
    <xf numFmtId="3" fontId="20" fillId="0" borderId="0" xfId="0" applyNumberFormat="1" applyFont="1"/>
    <xf numFmtId="0" fontId="20" fillId="0" borderId="3" xfId="0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Alignment="1">
      <alignment vertical="center"/>
    </xf>
    <xf numFmtId="3" fontId="20" fillId="0" borderId="84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0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vertical="center" wrapText="1"/>
    </xf>
    <xf numFmtId="3" fontId="38" fillId="0" borderId="0" xfId="0" applyNumberFormat="1" applyFont="1" applyFill="1" applyAlignment="1">
      <alignment vertical="center"/>
    </xf>
    <xf numFmtId="3" fontId="20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/>
    <xf numFmtId="0" fontId="0" fillId="0" borderId="0" xfId="0" applyFont="1" applyFill="1"/>
    <xf numFmtId="0" fontId="20" fillId="0" borderId="0" xfId="0" applyFont="1" applyFill="1" applyAlignment="1">
      <alignment horizontal="right"/>
    </xf>
    <xf numFmtId="0" fontId="20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47" xfId="0" applyFont="1" applyFill="1" applyBorder="1" applyAlignment="1">
      <alignment horizontal="center" vertical="center" wrapText="1"/>
    </xf>
    <xf numFmtId="0" fontId="20" fillId="0" borderId="75" xfId="0" applyFont="1" applyFill="1" applyBorder="1" applyAlignment="1">
      <alignment vertical="center"/>
    </xf>
    <xf numFmtId="3" fontId="20" fillId="0" borderId="55" xfId="0" applyNumberFormat="1" applyFont="1" applyFill="1" applyBorder="1" applyAlignment="1">
      <alignment vertical="center"/>
    </xf>
    <xf numFmtId="3" fontId="20" fillId="0" borderId="5" xfId="0" applyNumberFormat="1" applyFont="1" applyFill="1" applyBorder="1" applyAlignment="1">
      <alignment vertical="center"/>
    </xf>
    <xf numFmtId="3" fontId="20" fillId="0" borderId="41" xfId="0" applyNumberFormat="1" applyFont="1" applyFill="1" applyBorder="1" applyAlignment="1">
      <alignment vertical="center"/>
    </xf>
    <xf numFmtId="0" fontId="20" fillId="0" borderId="31" xfId="0" applyFont="1" applyFill="1" applyBorder="1" applyAlignment="1">
      <alignment vertical="center"/>
    </xf>
    <xf numFmtId="3" fontId="20" fillId="0" borderId="32" xfId="0" applyNumberFormat="1" applyFont="1" applyFill="1" applyBorder="1" applyAlignment="1">
      <alignment vertical="center"/>
    </xf>
    <xf numFmtId="3" fontId="20" fillId="0" borderId="29" xfId="0" applyNumberFormat="1" applyFont="1" applyFill="1" applyBorder="1" applyAlignment="1">
      <alignment vertical="center"/>
    </xf>
    <xf numFmtId="0" fontId="20" fillId="0" borderId="76" xfId="0" applyFont="1" applyFill="1" applyBorder="1" applyAlignment="1">
      <alignment vertical="center"/>
    </xf>
    <xf numFmtId="3" fontId="20" fillId="0" borderId="77" xfId="0" applyNumberFormat="1" applyFont="1" applyFill="1" applyBorder="1" applyAlignment="1">
      <alignment vertical="center"/>
    </xf>
    <xf numFmtId="3" fontId="20" fillId="0" borderId="6" xfId="0" applyNumberFormat="1" applyFont="1" applyFill="1" applyBorder="1" applyAlignment="1">
      <alignment vertical="center"/>
    </xf>
    <xf numFmtId="3" fontId="20" fillId="0" borderId="40" xfId="0" applyNumberFormat="1" applyFont="1" applyFill="1" applyBorder="1" applyAlignment="1">
      <alignment vertical="center"/>
    </xf>
    <xf numFmtId="0" fontId="27" fillId="0" borderId="65" xfId="0" applyFont="1" applyFill="1" applyBorder="1" applyAlignment="1">
      <alignment vertical="center"/>
    </xf>
    <xf numFmtId="3" fontId="20" fillId="0" borderId="49" xfId="0" applyNumberFormat="1" applyFont="1" applyFill="1" applyBorder="1" applyAlignment="1">
      <alignment vertical="center"/>
    </xf>
    <xf numFmtId="3" fontId="20" fillId="0" borderId="50" xfId="0" applyNumberFormat="1" applyFont="1" applyFill="1" applyBorder="1" applyAlignment="1">
      <alignment vertical="center"/>
    </xf>
    <xf numFmtId="3" fontId="20" fillId="0" borderId="5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3" fontId="0" fillId="0" borderId="0" xfId="0" applyNumberFormat="1" applyFont="1" applyFill="1"/>
    <xf numFmtId="0" fontId="20" fillId="0" borderId="31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 wrapText="1"/>
    </xf>
    <xf numFmtId="3" fontId="20" fillId="0" borderId="31" xfId="0" applyNumberFormat="1" applyFont="1" applyFill="1" applyBorder="1" applyAlignment="1">
      <alignment vertical="center"/>
    </xf>
    <xf numFmtId="0" fontId="30" fillId="0" borderId="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31" fillId="0" borderId="6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right" vertical="center"/>
    </xf>
    <xf numFmtId="0" fontId="27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3" fontId="20" fillId="0" borderId="6" xfId="0" applyNumberFormat="1" applyFont="1" applyBorder="1" applyAlignment="1">
      <alignment horizontal="right" vertical="center"/>
    </xf>
    <xf numFmtId="3" fontId="20" fillId="0" borderId="15" xfId="0" applyNumberFormat="1" applyFont="1" applyBorder="1" applyAlignment="1">
      <alignment horizontal="right" vertical="center"/>
    </xf>
    <xf numFmtId="3" fontId="20" fillId="0" borderId="5" xfId="0" applyNumberFormat="1" applyFont="1" applyBorder="1" applyAlignment="1">
      <alignment horizontal="right" vertical="center"/>
    </xf>
    <xf numFmtId="0" fontId="46" fillId="0" borderId="1" xfId="104" applyFont="1" applyFill="1" applyBorder="1" applyAlignment="1">
      <alignment horizontal="center" vertical="center" wrapText="1"/>
    </xf>
    <xf numFmtId="0" fontId="46" fillId="0" borderId="1" xfId="103" applyFont="1" applyFill="1" applyBorder="1" applyAlignment="1">
      <alignment horizontal="center" vertical="center" wrapText="1"/>
    </xf>
    <xf numFmtId="1" fontId="46" fillId="0" borderId="1" xfId="103" applyNumberFormat="1" applyFont="1" applyFill="1" applyBorder="1" applyAlignment="1">
      <alignment horizontal="center" vertical="center" wrapText="1"/>
    </xf>
    <xf numFmtId="49" fontId="46" fillId="0" borderId="1" xfId="103" applyNumberFormat="1" applyFont="1" applyFill="1" applyBorder="1" applyAlignment="1">
      <alignment horizontal="center" vertical="center" wrapText="1"/>
    </xf>
    <xf numFmtId="1" fontId="46" fillId="0" borderId="6" xfId="103" applyNumberFormat="1" applyFont="1" applyFill="1" applyBorder="1" applyAlignment="1">
      <alignment horizontal="center" vertical="center" wrapText="1"/>
    </xf>
    <xf numFmtId="1" fontId="46" fillId="0" borderId="15" xfId="103" applyNumberFormat="1" applyFont="1" applyFill="1" applyBorder="1" applyAlignment="1">
      <alignment horizontal="center" vertical="center" wrapText="1"/>
    </xf>
    <xf numFmtId="1" fontId="46" fillId="0" borderId="5" xfId="103" applyNumberFormat="1" applyFont="1" applyFill="1" applyBorder="1" applyAlignment="1">
      <alignment horizontal="center" vertical="center" wrapText="1"/>
    </xf>
    <xf numFmtId="0" fontId="46" fillId="0" borderId="6" xfId="103" applyFont="1" applyFill="1" applyBorder="1" applyAlignment="1">
      <alignment horizontal="center" vertical="center" wrapText="1"/>
    </xf>
    <xf numFmtId="0" fontId="46" fillId="0" borderId="15" xfId="103" applyFont="1" applyFill="1" applyBorder="1" applyAlignment="1">
      <alignment horizontal="center" vertical="center" wrapText="1"/>
    </xf>
    <xf numFmtId="0" fontId="46" fillId="0" borderId="5" xfId="103" applyFont="1" applyFill="1" applyBorder="1" applyAlignment="1">
      <alignment horizontal="center" vertical="center" wrapText="1"/>
    </xf>
    <xf numFmtId="0" fontId="46" fillId="0" borderId="3" xfId="103" applyFont="1" applyFill="1" applyBorder="1" applyAlignment="1">
      <alignment horizontal="center" vertical="center" wrapText="1"/>
    </xf>
    <xf numFmtId="0" fontId="46" fillId="0" borderId="4" xfId="103" applyFont="1" applyFill="1" applyBorder="1" applyAlignment="1">
      <alignment horizontal="center" vertical="center" wrapText="1"/>
    </xf>
    <xf numFmtId="0" fontId="46" fillId="0" borderId="2" xfId="103" applyFont="1" applyFill="1" applyBorder="1" applyAlignment="1">
      <alignment horizontal="center" vertical="center" wrapText="1"/>
    </xf>
    <xf numFmtId="3" fontId="46" fillId="0" borderId="6" xfId="103" applyNumberFormat="1" applyFont="1" applyFill="1" applyBorder="1" applyAlignment="1">
      <alignment horizontal="right" vertical="center" wrapText="1"/>
    </xf>
    <xf numFmtId="3" fontId="46" fillId="0" borderId="15" xfId="103" applyNumberFormat="1" applyFont="1" applyFill="1" applyBorder="1" applyAlignment="1">
      <alignment horizontal="right" vertical="center" wrapText="1"/>
    </xf>
    <xf numFmtId="3" fontId="46" fillId="0" borderId="5" xfId="103" applyNumberFormat="1" applyFont="1" applyFill="1" applyBorder="1" applyAlignment="1">
      <alignment horizontal="right" vertical="center" wrapText="1"/>
    </xf>
    <xf numFmtId="0" fontId="46" fillId="0" borderId="15" xfId="103" applyFont="1" applyFill="1" applyBorder="1" applyAlignment="1">
      <alignment horizontal="right" vertical="center" wrapText="1"/>
    </xf>
    <xf numFmtId="0" fontId="46" fillId="0" borderId="6" xfId="104" applyFont="1" applyFill="1" applyBorder="1" applyAlignment="1">
      <alignment horizontal="center" vertical="center" wrapText="1"/>
    </xf>
    <xf numFmtId="0" fontId="46" fillId="0" borderId="15" xfId="104" applyFont="1" applyFill="1" applyBorder="1" applyAlignment="1">
      <alignment horizontal="center" vertical="center" wrapText="1"/>
    </xf>
    <xf numFmtId="0" fontId="46" fillId="0" borderId="5" xfId="103" applyFont="1" applyFill="1" applyBorder="1" applyAlignment="1">
      <alignment horizontal="right" vertical="center" wrapText="1"/>
    </xf>
    <xf numFmtId="0" fontId="46" fillId="0" borderId="6" xfId="103" applyFont="1" applyFill="1" applyBorder="1" applyAlignment="1">
      <alignment horizontal="right" vertical="center" wrapText="1"/>
    </xf>
    <xf numFmtId="3" fontId="46" fillId="0" borderId="6" xfId="104" applyNumberFormat="1" applyFont="1" applyFill="1" applyBorder="1" applyAlignment="1">
      <alignment horizontal="center" vertical="center" wrapText="1"/>
    </xf>
    <xf numFmtId="3" fontId="46" fillId="0" borderId="5" xfId="104" applyNumberFormat="1" applyFont="1" applyFill="1" applyBorder="1" applyAlignment="1">
      <alignment horizontal="center" vertical="center" wrapText="1"/>
    </xf>
    <xf numFmtId="0" fontId="46" fillId="0" borderId="5" xfId="104" applyFont="1" applyFill="1" applyBorder="1" applyAlignment="1">
      <alignment horizontal="center" vertical="center" wrapText="1"/>
    </xf>
    <xf numFmtId="3" fontId="46" fillId="0" borderId="6" xfId="103" applyNumberFormat="1" applyFont="1" applyFill="1" applyBorder="1" applyAlignment="1">
      <alignment horizontal="right" vertical="center"/>
    </xf>
    <xf numFmtId="3" fontId="46" fillId="0" borderId="15" xfId="103" applyNumberFormat="1" applyFont="1" applyFill="1" applyBorder="1" applyAlignment="1">
      <alignment horizontal="right" vertical="center"/>
    </xf>
    <xf numFmtId="3" fontId="46" fillId="0" borderId="5" xfId="103" applyNumberFormat="1" applyFont="1" applyFill="1" applyBorder="1" applyAlignment="1">
      <alignment horizontal="right" vertical="center"/>
    </xf>
    <xf numFmtId="3" fontId="46" fillId="0" borderId="1" xfId="103" applyNumberFormat="1" applyFont="1" applyFill="1" applyBorder="1" applyAlignment="1">
      <alignment horizontal="right" vertical="center"/>
    </xf>
    <xf numFmtId="1" fontId="46" fillId="0" borderId="6" xfId="105" applyNumberFormat="1" applyFont="1" applyFill="1" applyBorder="1" applyAlignment="1">
      <alignment horizontal="center" vertical="center" wrapText="1"/>
    </xf>
    <xf numFmtId="1" fontId="46" fillId="0" borderId="15" xfId="105" applyNumberFormat="1" applyFont="1" applyFill="1" applyBorder="1" applyAlignment="1">
      <alignment horizontal="center" vertical="center" wrapText="1"/>
    </xf>
    <xf numFmtId="1" fontId="46" fillId="0" borderId="5" xfId="105" applyNumberFormat="1" applyFont="1" applyFill="1" applyBorder="1" applyAlignment="1">
      <alignment horizontal="center" vertical="center" wrapText="1"/>
    </xf>
    <xf numFmtId="3" fontId="45" fillId="0" borderId="1" xfId="103" applyNumberFormat="1" applyFont="1" applyFill="1" applyBorder="1" applyAlignment="1">
      <alignment horizontal="center" vertical="center"/>
    </xf>
    <xf numFmtId="3" fontId="45" fillId="0" borderId="6" xfId="103" applyNumberFormat="1" applyFont="1" applyFill="1" applyBorder="1" applyAlignment="1">
      <alignment horizontal="center" vertical="center" wrapText="1"/>
    </xf>
    <xf numFmtId="3" fontId="45" fillId="0" borderId="15" xfId="103" applyNumberFormat="1" applyFont="1" applyFill="1" applyBorder="1" applyAlignment="1">
      <alignment horizontal="center" vertical="center" wrapText="1"/>
    </xf>
    <xf numFmtId="3" fontId="45" fillId="0" borderId="5" xfId="103" applyNumberFormat="1" applyFont="1" applyFill="1" applyBorder="1" applyAlignment="1">
      <alignment horizontal="center" vertical="center" wrapText="1"/>
    </xf>
    <xf numFmtId="3" fontId="45" fillId="0" borderId="6" xfId="103" applyNumberFormat="1" applyFont="1" applyFill="1" applyBorder="1" applyAlignment="1">
      <alignment horizontal="right" vertical="center"/>
    </xf>
    <xf numFmtId="3" fontId="45" fillId="0" borderId="15" xfId="103" applyNumberFormat="1" applyFont="1" applyFill="1" applyBorder="1" applyAlignment="1">
      <alignment horizontal="right" vertical="center"/>
    </xf>
    <xf numFmtId="3" fontId="45" fillId="0" borderId="1" xfId="103" applyNumberFormat="1" applyFont="1" applyFill="1" applyBorder="1" applyAlignment="1">
      <alignment horizontal="right" vertical="center" wrapText="1"/>
    </xf>
    <xf numFmtId="0" fontId="46" fillId="0" borderId="1" xfId="103" applyFont="1" applyFill="1" applyBorder="1" applyAlignment="1">
      <alignment horizontal="center" vertical="center"/>
    </xf>
    <xf numFmtId="3" fontId="45" fillId="0" borderId="6" xfId="103" applyNumberFormat="1" applyFont="1" applyFill="1" applyBorder="1" applyAlignment="1">
      <alignment horizontal="right" vertical="center" wrapText="1"/>
    </xf>
    <xf numFmtId="3" fontId="45" fillId="0" borderId="15" xfId="103" applyNumberFormat="1" applyFont="1" applyFill="1" applyBorder="1" applyAlignment="1">
      <alignment horizontal="right" vertical="center" wrapText="1"/>
    </xf>
    <xf numFmtId="3" fontId="45" fillId="0" borderId="5" xfId="103" applyNumberFormat="1" applyFont="1" applyFill="1" applyBorder="1" applyAlignment="1">
      <alignment horizontal="right" vertical="center" wrapText="1"/>
    </xf>
    <xf numFmtId="0" fontId="46" fillId="0" borderId="10" xfId="103" applyFont="1" applyFill="1" applyBorder="1" applyAlignment="1">
      <alignment horizontal="center" vertical="center" wrapText="1"/>
    </xf>
    <xf numFmtId="0" fontId="46" fillId="0" borderId="13" xfId="103" applyFont="1" applyFill="1" applyBorder="1" applyAlignment="1">
      <alignment horizontal="center" vertical="center" wrapText="1"/>
    </xf>
    <xf numFmtId="0" fontId="46" fillId="0" borderId="9" xfId="103" applyFont="1" applyFill="1" applyBorder="1" applyAlignment="1">
      <alignment horizontal="center" vertical="center" wrapText="1"/>
    </xf>
    <xf numFmtId="0" fontId="50" fillId="0" borderId="32" xfId="112" applyFont="1" applyFill="1" applyBorder="1" applyAlignment="1">
      <alignment horizontal="center" vertical="center" wrapText="1"/>
    </xf>
    <xf numFmtId="0" fontId="50" fillId="0" borderId="1" xfId="112" applyFont="1" applyFill="1" applyBorder="1" applyAlignment="1">
      <alignment horizontal="center" vertical="center" wrapText="1"/>
    </xf>
    <xf numFmtId="0" fontId="50" fillId="0" borderId="29" xfId="112" applyFont="1" applyFill="1" applyBorder="1" applyAlignment="1">
      <alignment horizontal="center" vertical="center" wrapText="1"/>
    </xf>
    <xf numFmtId="0" fontId="50" fillId="0" borderId="2" xfId="112" applyFont="1" applyFill="1" applyBorder="1" applyAlignment="1">
      <alignment horizontal="center" vertical="center" wrapText="1"/>
    </xf>
    <xf numFmtId="0" fontId="50" fillId="0" borderId="3" xfId="112" applyFont="1" applyFill="1" applyBorder="1" applyAlignment="1">
      <alignment horizontal="center" vertical="center" wrapText="1"/>
    </xf>
    <xf numFmtId="0" fontId="51" fillId="0" borderId="44" xfId="111" applyFont="1" applyFill="1" applyBorder="1" applyAlignment="1">
      <alignment horizontal="center" vertical="center" wrapText="1"/>
    </xf>
    <xf numFmtId="0" fontId="51" fillId="0" borderId="45" xfId="111" applyFont="1" applyFill="1" applyBorder="1" applyAlignment="1">
      <alignment horizontal="center" vertical="center" wrapText="1"/>
    </xf>
    <xf numFmtId="0" fontId="51" fillId="0" borderId="46" xfId="111" applyFont="1" applyFill="1" applyBorder="1" applyAlignment="1">
      <alignment horizontal="center" vertical="center" wrapText="1"/>
    </xf>
    <xf numFmtId="0" fontId="51" fillId="0" borderId="78" xfId="111" applyFont="1" applyFill="1" applyBorder="1" applyAlignment="1">
      <alignment horizontal="center" vertical="center" wrapText="1"/>
    </xf>
    <xf numFmtId="0" fontId="51" fillId="0" borderId="62" xfId="111" applyFont="1" applyFill="1" applyBorder="1" applyAlignment="1">
      <alignment horizontal="center" vertical="center" wrapText="1"/>
    </xf>
    <xf numFmtId="49" fontId="50" fillId="0" borderId="3" xfId="113" applyNumberFormat="1" applyFont="1" applyFill="1" applyBorder="1" applyAlignment="1">
      <alignment horizontal="center" vertical="center"/>
    </xf>
    <xf numFmtId="49" fontId="50" fillId="0" borderId="4" xfId="113" applyNumberFormat="1" applyFont="1" applyFill="1" applyBorder="1" applyAlignment="1">
      <alignment horizontal="center" vertical="center"/>
    </xf>
    <xf numFmtId="49" fontId="50" fillId="0" borderId="2" xfId="113" applyNumberFormat="1" applyFont="1" applyFill="1" applyBorder="1" applyAlignment="1">
      <alignment horizontal="center" vertical="center"/>
    </xf>
    <xf numFmtId="49" fontId="50" fillId="0" borderId="68" xfId="113" applyNumberFormat="1" applyFont="1" applyFill="1" applyBorder="1" applyAlignment="1">
      <alignment horizontal="center" vertical="center"/>
    </xf>
    <xf numFmtId="49" fontId="50" fillId="0" borderId="69" xfId="113" applyNumberFormat="1" applyFont="1" applyFill="1" applyBorder="1" applyAlignment="1">
      <alignment horizontal="center" vertical="center"/>
    </xf>
    <xf numFmtId="49" fontId="50" fillId="0" borderId="70" xfId="113" applyNumberFormat="1" applyFont="1" applyFill="1" applyBorder="1" applyAlignment="1">
      <alignment horizontal="center" vertical="center"/>
    </xf>
    <xf numFmtId="49" fontId="54" fillId="0" borderId="65" xfId="113" applyNumberFormat="1" applyFont="1" applyFill="1" applyBorder="1" applyAlignment="1">
      <alignment horizontal="center" vertical="center"/>
    </xf>
    <xf numFmtId="49" fontId="54" fillId="0" borderId="66" xfId="113" applyNumberFormat="1" applyFont="1" applyFill="1" applyBorder="1" applyAlignment="1">
      <alignment horizontal="center" vertical="center"/>
    </xf>
    <xf numFmtId="49" fontId="54" fillId="0" borderId="67" xfId="113" applyNumberFormat="1" applyFont="1" applyFill="1" applyBorder="1" applyAlignment="1">
      <alignment horizontal="center" vertical="center"/>
    </xf>
    <xf numFmtId="0" fontId="53" fillId="0" borderId="80" xfId="111" applyFont="1" applyFill="1" applyBorder="1" applyAlignment="1">
      <alignment horizontal="center" vertical="center" wrapText="1"/>
    </xf>
    <xf numFmtId="0" fontId="21" fillId="0" borderId="58" xfId="0" applyFont="1" applyFill="1" applyBorder="1" applyAlignment="1">
      <alignment vertical="center"/>
    </xf>
    <xf numFmtId="49" fontId="51" fillId="0" borderId="12" xfId="113" applyNumberFormat="1" applyFont="1" applyFill="1" applyBorder="1" applyAlignment="1">
      <alignment horizontal="center" vertical="center"/>
    </xf>
    <xf numFmtId="49" fontId="51" fillId="0" borderId="11" xfId="113" applyNumberFormat="1" applyFont="1" applyFill="1" applyBorder="1" applyAlignment="1">
      <alignment horizontal="center" vertical="center"/>
    </xf>
    <xf numFmtId="49" fontId="51" fillId="0" borderId="10" xfId="113" applyNumberFormat="1" applyFont="1" applyFill="1" applyBorder="1" applyAlignment="1">
      <alignment horizontal="center" vertical="center"/>
    </xf>
    <xf numFmtId="49" fontId="51" fillId="0" borderId="8" xfId="113" applyNumberFormat="1" applyFont="1" applyFill="1" applyBorder="1" applyAlignment="1">
      <alignment horizontal="center" vertical="center"/>
    </xf>
    <xf numFmtId="49" fontId="51" fillId="0" borderId="7" xfId="113" applyNumberFormat="1" applyFont="1" applyFill="1" applyBorder="1" applyAlignment="1">
      <alignment horizontal="center" vertical="center"/>
    </xf>
    <xf numFmtId="49" fontId="51" fillId="0" borderId="9" xfId="113" applyNumberFormat="1" applyFont="1" applyFill="1" applyBorder="1" applyAlignment="1">
      <alignment horizontal="center" vertical="center"/>
    </xf>
    <xf numFmtId="49" fontId="50" fillId="0" borderId="44" xfId="110" applyNumberFormat="1" applyFont="1" applyFill="1" applyBorder="1" applyAlignment="1">
      <alignment horizontal="center" vertical="center" wrapText="1"/>
    </xf>
    <xf numFmtId="49" fontId="50" fillId="0" borderId="32" xfId="110" applyNumberFormat="1" applyFont="1" applyFill="1" applyBorder="1" applyAlignment="1">
      <alignment horizontal="center" vertical="center" wrapText="1"/>
    </xf>
    <xf numFmtId="49" fontId="50" fillId="0" borderId="47" xfId="110" applyNumberFormat="1" applyFont="1" applyFill="1" applyBorder="1" applyAlignment="1">
      <alignment horizontal="center" vertical="center" wrapText="1"/>
    </xf>
    <xf numFmtId="1" fontId="50" fillId="0" borderId="45" xfId="110" applyNumberFormat="1" applyFont="1" applyFill="1" applyBorder="1" applyAlignment="1">
      <alignment horizontal="center" vertical="center" wrapText="1"/>
    </xf>
    <xf numFmtId="1" fontId="50" fillId="0" borderId="1" xfId="110" applyNumberFormat="1" applyFont="1" applyFill="1" applyBorder="1" applyAlignment="1">
      <alignment horizontal="center" vertical="center" wrapText="1"/>
    </xf>
    <xf numFmtId="1" fontId="50" fillId="0" borderId="48" xfId="110" applyNumberFormat="1" applyFont="1" applyFill="1" applyBorder="1" applyAlignment="1">
      <alignment horizontal="center" vertical="center" wrapText="1"/>
    </xf>
    <xf numFmtId="0" fontId="50" fillId="0" borderId="45" xfId="110" applyFont="1" applyFill="1" applyBorder="1" applyAlignment="1">
      <alignment horizontal="center" vertical="center" wrapText="1"/>
    </xf>
    <xf numFmtId="0" fontId="50" fillId="0" borderId="1" xfId="110" applyFont="1" applyFill="1" applyBorder="1" applyAlignment="1">
      <alignment horizontal="center" vertical="center" wrapText="1"/>
    </xf>
    <xf numFmtId="0" fontId="50" fillId="0" borderId="48" xfId="110" applyFont="1" applyFill="1" applyBorder="1" applyAlignment="1">
      <alignment horizontal="center" vertical="center" wrapText="1"/>
    </xf>
    <xf numFmtId="0" fontId="46" fillId="0" borderId="1" xfId="108" applyFont="1" applyFill="1" applyBorder="1" applyAlignment="1">
      <alignment horizontal="center" vertical="center" wrapText="1"/>
    </xf>
    <xf numFmtId="1" fontId="45" fillId="0" borderId="1" xfId="108" applyNumberFormat="1" applyFont="1" applyFill="1" applyBorder="1" applyAlignment="1">
      <alignment horizontal="center" vertical="center" wrapText="1"/>
    </xf>
    <xf numFmtId="49" fontId="46" fillId="0" borderId="1" xfId="108" applyNumberFormat="1" applyFont="1" applyFill="1" applyBorder="1" applyAlignment="1">
      <alignment horizontal="center" vertical="center" wrapText="1"/>
    </xf>
    <xf numFmtId="1" fontId="46" fillId="0" borderId="6" xfId="108" applyNumberFormat="1" applyFont="1" applyFill="1" applyBorder="1" applyAlignment="1">
      <alignment horizontal="center" vertical="center" wrapText="1"/>
    </xf>
    <xf numFmtId="1" fontId="46" fillId="0" borderId="15" xfId="108" applyNumberFormat="1" applyFont="1" applyFill="1" applyBorder="1" applyAlignment="1">
      <alignment horizontal="center" vertical="center" wrapText="1"/>
    </xf>
    <xf numFmtId="1" fontId="46" fillId="0" borderId="5" xfId="108" applyNumberFormat="1" applyFont="1" applyFill="1" applyBorder="1" applyAlignment="1">
      <alignment horizontal="center" vertical="center" wrapText="1"/>
    </xf>
    <xf numFmtId="1" fontId="46" fillId="0" borderId="1" xfId="108" applyNumberFormat="1" applyFont="1" applyFill="1" applyBorder="1" applyAlignment="1">
      <alignment horizontal="center" vertical="center" wrapText="1"/>
    </xf>
    <xf numFmtId="0" fontId="46" fillId="0" borderId="6" xfId="108" applyFont="1" applyFill="1" applyBorder="1" applyAlignment="1">
      <alignment horizontal="center" vertical="center" wrapText="1"/>
    </xf>
    <xf numFmtId="0" fontId="46" fillId="0" borderId="15" xfId="108" applyFont="1" applyFill="1" applyBorder="1" applyAlignment="1">
      <alignment horizontal="center" vertical="center" wrapText="1"/>
    </xf>
    <xf numFmtId="0" fontId="46" fillId="0" borderId="5" xfId="108" applyFont="1" applyFill="1" applyBorder="1" applyAlignment="1">
      <alignment horizontal="center" vertical="center" wrapText="1"/>
    </xf>
    <xf numFmtId="0" fontId="46" fillId="0" borderId="6" xfId="108" applyFont="1" applyFill="1" applyBorder="1" applyAlignment="1">
      <alignment vertical="center" wrapText="1"/>
    </xf>
    <xf numFmtId="0" fontId="46" fillId="0" borderId="15" xfId="108" applyFont="1" applyFill="1" applyBorder="1" applyAlignment="1">
      <alignment vertical="center" wrapText="1"/>
    </xf>
    <xf numFmtId="3" fontId="46" fillId="0" borderId="6" xfId="108" applyNumberFormat="1" applyFont="1" applyFill="1" applyBorder="1" applyAlignment="1">
      <alignment vertical="center" wrapText="1"/>
    </xf>
    <xf numFmtId="3" fontId="46" fillId="0" borderId="15" xfId="108" applyNumberFormat="1" applyFont="1" applyFill="1" applyBorder="1" applyAlignment="1">
      <alignment vertical="center" wrapText="1"/>
    </xf>
    <xf numFmtId="3" fontId="46" fillId="0" borderId="5" xfId="108" applyNumberFormat="1" applyFont="1" applyFill="1" applyBorder="1" applyAlignment="1">
      <alignment vertical="center" wrapText="1"/>
    </xf>
    <xf numFmtId="1" fontId="45" fillId="0" borderId="6" xfId="108" applyNumberFormat="1" applyFont="1" applyFill="1" applyBorder="1" applyAlignment="1">
      <alignment horizontal="center" vertical="center" wrapText="1"/>
    </xf>
    <xf numFmtId="0" fontId="45" fillId="0" borderId="15" xfId="106" applyFont="1" applyFill="1" applyBorder="1"/>
    <xf numFmtId="3" fontId="46" fillId="0" borderId="6" xfId="108" applyNumberFormat="1" applyFont="1" applyFill="1" applyBorder="1" applyAlignment="1">
      <alignment horizontal="center" vertical="center" wrapText="1"/>
    </xf>
    <xf numFmtId="3" fontId="46" fillId="0" borderId="1" xfId="108" applyNumberFormat="1" applyFont="1" applyFill="1" applyBorder="1" applyAlignment="1">
      <alignment vertical="center" wrapText="1"/>
    </xf>
    <xf numFmtId="1" fontId="45" fillId="0" borderId="15" xfId="108" applyNumberFormat="1" applyFont="1" applyFill="1" applyBorder="1" applyAlignment="1">
      <alignment horizontal="center" vertical="center" wrapText="1"/>
    </xf>
    <xf numFmtId="0" fontId="46" fillId="0" borderId="6" xfId="108" applyFont="1" applyFill="1" applyBorder="1" applyAlignment="1">
      <alignment horizontal="right" vertical="center" wrapText="1"/>
    </xf>
    <xf numFmtId="0" fontId="46" fillId="0" borderId="15" xfId="108" applyFont="1" applyFill="1" applyBorder="1" applyAlignment="1">
      <alignment horizontal="right" vertical="center" wrapText="1"/>
    </xf>
    <xf numFmtId="3" fontId="46" fillId="0" borderId="15" xfId="108" applyNumberFormat="1" applyFont="1" applyFill="1" applyBorder="1" applyAlignment="1">
      <alignment horizontal="center" vertical="center" wrapText="1"/>
    </xf>
    <xf numFmtId="3" fontId="46" fillId="0" borderId="6" xfId="108" applyNumberFormat="1" applyFont="1" applyFill="1" applyBorder="1" applyAlignment="1">
      <alignment horizontal="right" vertical="center" wrapText="1"/>
    </xf>
    <xf numFmtId="3" fontId="46" fillId="0" borderId="15" xfId="108" applyNumberFormat="1" applyFont="1" applyFill="1" applyBorder="1" applyAlignment="1">
      <alignment horizontal="right" vertical="center" wrapText="1"/>
    </xf>
    <xf numFmtId="3" fontId="46" fillId="0" borderId="5" xfId="108" applyNumberFormat="1" applyFont="1" applyFill="1" applyBorder="1" applyAlignment="1">
      <alignment horizontal="right" vertical="center" wrapText="1"/>
    </xf>
    <xf numFmtId="0" fontId="46" fillId="0" borderId="5" xfId="108" applyFont="1" applyFill="1" applyBorder="1" applyAlignment="1">
      <alignment horizontal="right" vertical="center" wrapText="1"/>
    </xf>
    <xf numFmtId="1" fontId="45" fillId="0" borderId="5" xfId="108" applyNumberFormat="1" applyFont="1" applyFill="1" applyBorder="1" applyAlignment="1">
      <alignment horizontal="center" vertical="center" wrapText="1"/>
    </xf>
    <xf numFmtId="3" fontId="46" fillId="0" borderId="5" xfId="108" applyNumberFormat="1" applyFont="1" applyFill="1" applyBorder="1" applyAlignment="1">
      <alignment horizontal="center" vertical="center" wrapText="1"/>
    </xf>
    <xf numFmtId="3" fontId="46" fillId="0" borderId="6" xfId="108" applyNumberFormat="1" applyFont="1" applyFill="1" applyBorder="1" applyAlignment="1">
      <alignment horizontal="right" vertical="center"/>
    </xf>
    <xf numFmtId="3" fontId="46" fillId="0" borderId="15" xfId="108" applyNumberFormat="1" applyFont="1" applyFill="1" applyBorder="1" applyAlignment="1">
      <alignment horizontal="right" vertical="center"/>
    </xf>
    <xf numFmtId="3" fontId="46" fillId="0" borderId="5" xfId="108" applyNumberFormat="1" applyFont="1" applyFill="1" applyBorder="1" applyAlignment="1">
      <alignment horizontal="right" vertical="center"/>
    </xf>
    <xf numFmtId="0" fontId="46" fillId="0" borderId="5" xfId="108" applyFont="1" applyFill="1" applyBorder="1" applyAlignment="1">
      <alignment vertical="center" wrapText="1"/>
    </xf>
    <xf numFmtId="3" fontId="45" fillId="0" borderId="1" xfId="108" applyNumberFormat="1" applyFont="1" applyFill="1" applyBorder="1" applyAlignment="1">
      <alignment horizontal="center" vertical="center"/>
    </xf>
    <xf numFmtId="0" fontId="51" fillId="0" borderId="45" xfId="114" applyFont="1" applyFill="1" applyBorder="1" applyAlignment="1">
      <alignment horizontal="center" vertical="center" wrapText="1"/>
    </xf>
    <xf numFmtId="49" fontId="50" fillId="0" borderId="44" xfId="115" applyNumberFormat="1" applyFont="1" applyFill="1" applyBorder="1" applyAlignment="1">
      <alignment horizontal="center" vertical="center" wrapText="1"/>
    </xf>
    <xf numFmtId="49" fontId="50" fillId="0" borderId="32" xfId="115" applyNumberFormat="1" applyFont="1" applyFill="1" applyBorder="1" applyAlignment="1">
      <alignment horizontal="center" vertical="center" wrapText="1"/>
    </xf>
    <xf numFmtId="49" fontId="50" fillId="0" borderId="47" xfId="115" applyNumberFormat="1" applyFont="1" applyFill="1" applyBorder="1" applyAlignment="1">
      <alignment horizontal="center" vertical="center" wrapText="1"/>
    </xf>
    <xf numFmtId="1" fontId="50" fillId="0" borderId="45" xfId="115" applyNumberFormat="1" applyFont="1" applyFill="1" applyBorder="1" applyAlignment="1">
      <alignment horizontal="center" vertical="center" wrapText="1"/>
    </xf>
    <xf numFmtId="1" fontId="50" fillId="0" borderId="1" xfId="115" applyNumberFormat="1" applyFont="1" applyFill="1" applyBorder="1" applyAlignment="1">
      <alignment horizontal="center" vertical="center" wrapText="1"/>
    </xf>
    <xf numFmtId="1" fontId="50" fillId="0" borderId="48" xfId="115" applyNumberFormat="1" applyFont="1" applyFill="1" applyBorder="1" applyAlignment="1">
      <alignment horizontal="center" vertical="center" wrapText="1"/>
    </xf>
    <xf numFmtId="0" fontId="50" fillId="0" borderId="45" xfId="115" applyFont="1" applyFill="1" applyBorder="1" applyAlignment="1">
      <alignment horizontal="center" vertical="center" wrapText="1"/>
    </xf>
    <xf numFmtId="0" fontId="50" fillId="0" borderId="1" xfId="115" applyFont="1" applyFill="1" applyBorder="1" applyAlignment="1">
      <alignment horizontal="center" vertical="center" wrapText="1"/>
    </xf>
    <xf numFmtId="0" fontId="50" fillId="0" borderId="48" xfId="115" applyFont="1" applyFill="1" applyBorder="1" applyAlignment="1">
      <alignment horizontal="center" vertical="center" wrapText="1"/>
    </xf>
    <xf numFmtId="0" fontId="51" fillId="0" borderId="62" xfId="114" applyFont="1" applyFill="1" applyBorder="1" applyAlignment="1">
      <alignment horizontal="center" vertical="center" wrapText="1"/>
    </xf>
    <xf numFmtId="0" fontId="51" fillId="0" borderId="63" xfId="114" applyFont="1" applyFill="1" applyBorder="1" applyAlignment="1">
      <alignment horizontal="center" vertical="center" wrapText="1"/>
    </xf>
    <xf numFmtId="0" fontId="51" fillId="0" borderId="64" xfId="114" applyFont="1" applyFill="1" applyBorder="1" applyAlignment="1">
      <alignment horizontal="center" vertical="center" wrapText="1"/>
    </xf>
    <xf numFmtId="0" fontId="50" fillId="0" borderId="1" xfId="113" applyFont="1" applyFill="1" applyBorder="1" applyAlignment="1">
      <alignment horizontal="center" vertical="center" wrapText="1"/>
    </xf>
    <xf numFmtId="0" fontId="50" fillId="0" borderId="3" xfId="113" applyFont="1" applyFill="1" applyBorder="1" applyAlignment="1">
      <alignment horizontal="center" vertical="center" wrapText="1"/>
    </xf>
    <xf numFmtId="0" fontId="50" fillId="0" borderId="4" xfId="113" applyFont="1" applyFill="1" applyBorder="1" applyAlignment="1">
      <alignment horizontal="center" vertical="center" wrapText="1"/>
    </xf>
    <xf numFmtId="0" fontId="50" fillId="0" borderId="30" xfId="113" applyFont="1" applyFill="1" applyBorder="1" applyAlignment="1">
      <alignment horizontal="center" vertical="center" wrapText="1"/>
    </xf>
    <xf numFmtId="0" fontId="53" fillId="0" borderId="57" xfId="114" applyFont="1" applyFill="1" applyBorder="1" applyAlignment="1">
      <alignment horizontal="center" vertical="center" wrapText="1"/>
    </xf>
    <xf numFmtId="0" fontId="21" fillId="0" borderId="59" xfId="0" applyFont="1" applyFill="1" applyBorder="1" applyAlignment="1">
      <alignment vertical="center"/>
    </xf>
    <xf numFmtId="0" fontId="51" fillId="0" borderId="1" xfId="114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27" fillId="0" borderId="6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left"/>
    </xf>
    <xf numFmtId="0" fontId="20" fillId="0" borderId="1" xfId="0" applyFont="1" applyBorder="1"/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0" fillId="0" borderId="7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4" fontId="27" fillId="0" borderId="3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31" fillId="0" borderId="0" xfId="0" applyFont="1" applyAlignment="1">
      <alignment horizontal="center" vertical="center"/>
    </xf>
    <xf numFmtId="0" fontId="27" fillId="0" borderId="3" xfId="1" applyFont="1" applyBorder="1" applyAlignment="1">
      <alignment horizontal="center" vertical="center" wrapText="1"/>
    </xf>
    <xf numFmtId="0" fontId="27" fillId="0" borderId="4" xfId="1" applyFont="1" applyBorder="1" applyAlignment="1">
      <alignment horizontal="center" vertical="center" wrapText="1"/>
    </xf>
    <xf numFmtId="0" fontId="27" fillId="0" borderId="2" xfId="1" applyFont="1" applyBorder="1" applyAlignment="1">
      <alignment horizontal="center" vertical="center" wrapText="1"/>
    </xf>
    <xf numFmtId="0" fontId="27" fillId="0" borderId="3" xfId="1" applyFont="1" applyBorder="1" applyAlignment="1">
      <alignment horizontal="center" vertical="center"/>
    </xf>
    <xf numFmtId="0" fontId="27" fillId="0" borderId="4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1" fillId="0" borderId="1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7" fillId="2" borderId="3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2" fillId="0" borderId="0" xfId="77" applyFont="1" applyAlignment="1">
      <alignment horizontal="center" vertical="center"/>
    </xf>
    <xf numFmtId="0" fontId="22" fillId="0" borderId="0" xfId="77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8" fillId="0" borderId="0" xfId="77" applyFont="1" applyAlignment="1">
      <alignment horizontal="left" vertical="center" wrapText="1"/>
    </xf>
    <xf numFmtId="0" fontId="23" fillId="0" borderId="0" xfId="77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40" xfId="0" applyFont="1" applyFill="1" applyBorder="1" applyAlignment="1">
      <alignment horizontal="center" vertical="center"/>
    </xf>
    <xf numFmtId="0" fontId="20" fillId="0" borderId="41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0" fillId="0" borderId="5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72" xfId="0" applyFont="1" applyFill="1" applyBorder="1" applyAlignment="1">
      <alignment horizontal="center"/>
    </xf>
    <xf numFmtId="0" fontId="20" fillId="0" borderId="63" xfId="0" applyFont="1" applyFill="1" applyBorder="1" applyAlignment="1">
      <alignment horizontal="center"/>
    </xf>
    <xf numFmtId="0" fontId="20" fillId="0" borderId="64" xfId="0" applyFont="1" applyFill="1" applyBorder="1" applyAlignment="1">
      <alignment horizontal="center"/>
    </xf>
    <xf numFmtId="0" fontId="20" fillId="0" borderId="31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71" xfId="0" applyFont="1" applyFill="1" applyBorder="1" applyAlignment="1">
      <alignment horizontal="center" vertical="center" wrapText="1"/>
    </xf>
    <xf numFmtId="0" fontId="20" fillId="0" borderId="73" xfId="0" applyFont="1" applyFill="1" applyBorder="1" applyAlignment="1">
      <alignment horizontal="center" vertical="center" wrapText="1"/>
    </xf>
    <xf numFmtId="0" fontId="20" fillId="0" borderId="7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3" fontId="0" fillId="0" borderId="6" xfId="0" applyNumberFormat="1" applyBorder="1" applyAlignment="1"/>
    <xf numFmtId="3" fontId="0" fillId="0" borderId="5" xfId="0" applyNumberForma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8" fillId="0" borderId="3" xfId="0" applyFont="1" applyBorder="1" applyAlignment="1">
      <alignment wrapText="1"/>
    </xf>
    <xf numFmtId="0" fontId="28" fillId="0" borderId="4" xfId="0" applyFont="1" applyBorder="1" applyAlignment="1">
      <alignment wrapText="1"/>
    </xf>
    <xf numFmtId="0" fontId="28" fillId="0" borderId="2" xfId="0" applyFont="1" applyBorder="1" applyAlignment="1">
      <alignment wrapText="1"/>
    </xf>
    <xf numFmtId="0" fontId="29" fillId="0" borderId="1" xfId="0" applyFont="1" applyBorder="1" applyAlignment="1"/>
    <xf numFmtId="0" fontId="28" fillId="0" borderId="1" xfId="0" applyFont="1" applyBorder="1" applyAlignment="1"/>
    <xf numFmtId="0" fontId="28" fillId="0" borderId="1" xfId="0" applyFont="1" applyFill="1" applyBorder="1" applyAlignment="1"/>
    <xf numFmtId="0" fontId="28" fillId="0" borderId="3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1" xfId="0" applyFont="1" applyBorder="1" applyAlignment="1">
      <alignment horizontal="center"/>
    </xf>
    <xf numFmtId="0" fontId="44" fillId="0" borderId="1" xfId="0" applyFont="1" applyBorder="1" applyAlignment="1"/>
    <xf numFmtId="0" fontId="28" fillId="0" borderId="3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8" fillId="0" borderId="0" xfId="0" applyFont="1" applyAlignment="1">
      <alignment horizontal="right"/>
    </xf>
    <xf numFmtId="14" fontId="28" fillId="0" borderId="21" xfId="57" applyNumberFormat="1" applyFont="1" applyFill="1" applyBorder="1" applyAlignment="1">
      <alignment horizontal="center" vertical="center"/>
    </xf>
    <xf numFmtId="0" fontId="48" fillId="0" borderId="22" xfId="57" applyFont="1" applyFill="1" applyBorder="1" applyAlignment="1">
      <alignment horizontal="center" vertical="center"/>
    </xf>
    <xf numFmtId="0" fontId="29" fillId="0" borderId="3" xfId="57" applyFont="1" applyFill="1" applyBorder="1" applyAlignment="1">
      <alignment vertical="center"/>
    </xf>
    <xf numFmtId="0" fontId="49" fillId="0" borderId="22" xfId="39" applyFont="1" applyFill="1" applyBorder="1" applyAlignment="1">
      <alignment vertical="center"/>
    </xf>
    <xf numFmtId="167" fontId="29" fillId="0" borderId="3" xfId="55" applyNumberFormat="1" applyFont="1" applyFill="1" applyBorder="1" applyAlignment="1">
      <alignment horizontal="left" vertical="center"/>
    </xf>
    <xf numFmtId="167" fontId="49" fillId="0" borderId="22" xfId="39" applyNumberFormat="1" applyFont="1" applyFill="1" applyBorder="1" applyAlignment="1">
      <alignment horizontal="left" vertical="center"/>
    </xf>
    <xf numFmtId="1" fontId="29" fillId="0" borderId="21" xfId="57" applyNumberFormat="1" applyFont="1" applyFill="1" applyBorder="1" applyAlignment="1">
      <alignment horizontal="center" vertical="center"/>
    </xf>
    <xf numFmtId="1" fontId="29" fillId="0" borderId="2" xfId="57" applyNumberFormat="1" applyFont="1" applyFill="1" applyBorder="1" applyAlignment="1">
      <alignment horizontal="center" vertical="center"/>
    </xf>
    <xf numFmtId="14" fontId="28" fillId="0" borderId="16" xfId="6" applyNumberFormat="1" applyFont="1" applyBorder="1" applyAlignment="1">
      <alignment horizontal="center" vertical="center" wrapText="1"/>
    </xf>
    <xf numFmtId="0" fontId="28" fillId="0" borderId="16" xfId="6" applyFont="1" applyBorder="1" applyAlignment="1">
      <alignment horizontal="center" vertical="center" wrapText="1"/>
    </xf>
  </cellXfs>
  <cellStyles count="116">
    <cellStyle name="Ezres" xfId="38" builtinId="3"/>
    <cellStyle name="Ezres 2" xfId="4"/>
    <cellStyle name="Normál" xfId="0" builtinId="0"/>
    <cellStyle name="Normál 10" xfId="5"/>
    <cellStyle name="Normál 11" xfId="39"/>
    <cellStyle name="Normál 2" xfId="6"/>
    <cellStyle name="Normál 2 10" xfId="53"/>
    <cellStyle name="Normál 2 10 2" xfId="86"/>
    <cellStyle name="Normál 2 11" xfId="54"/>
    <cellStyle name="Normál 2 11 2" xfId="81"/>
    <cellStyle name="Normál 2 12" xfId="90"/>
    <cellStyle name="Normál 2 12 2" xfId="106"/>
    <cellStyle name="Normál 2 2" xfId="7"/>
    <cellStyle name="Normál 2 2 2" xfId="40"/>
    <cellStyle name="Normál 2 2 3" xfId="46"/>
    <cellStyle name="Normál 2 2 4" xfId="52"/>
    <cellStyle name="Normál 2 2 4 2" xfId="55"/>
    <cellStyle name="Normál 2 2 5" xfId="56"/>
    <cellStyle name="Normál 2 2 5 2" xfId="57"/>
    <cellStyle name="Normál 2 3" xfId="8"/>
    <cellStyle name="Normál 2 4" xfId="9"/>
    <cellStyle name="Normál 2 5" xfId="10"/>
    <cellStyle name="Normál 2 6" xfId="1"/>
    <cellStyle name="Normál 2 6 2" xfId="11"/>
    <cellStyle name="Normál 2 7" xfId="47"/>
    <cellStyle name="Normál 2 7 2" xfId="58"/>
    <cellStyle name="Normál 2 8" xfId="51"/>
    <cellStyle name="Normál 2 8 2" xfId="59"/>
    <cellStyle name="Normál 2 9" xfId="60"/>
    <cellStyle name="Normál 2 9 2" xfId="61"/>
    <cellStyle name="Normál 3" xfId="12"/>
    <cellStyle name="Normál 3 2" xfId="13"/>
    <cellStyle name="Normál 3 3" xfId="14"/>
    <cellStyle name="Normál 3 4" xfId="15"/>
    <cellStyle name="Normál 4" xfId="16"/>
    <cellStyle name="Normál 4 2" xfId="17"/>
    <cellStyle name="Normál 4 3" xfId="18"/>
    <cellStyle name="Normál 4 4" xfId="19"/>
    <cellStyle name="Normál 5" xfId="20"/>
    <cellStyle name="Normál 5 2" xfId="21"/>
    <cellStyle name="Normál 5 3" xfId="22"/>
    <cellStyle name="Normál 5 4" xfId="23"/>
    <cellStyle name="Normál 6" xfId="24"/>
    <cellStyle name="Normál 6 2" xfId="25"/>
    <cellStyle name="Normál 6 3" xfId="26"/>
    <cellStyle name="Normál 6 4" xfId="27"/>
    <cellStyle name="Normál 7" xfId="28"/>
    <cellStyle name="Normál 8" xfId="29"/>
    <cellStyle name="Normál 9" xfId="2"/>
    <cellStyle name="Normál 9 2" xfId="3"/>
    <cellStyle name="Normál 9 2 2" xfId="30"/>
    <cellStyle name="Normál 9 2 2 2" xfId="41"/>
    <cellStyle name="Normál 9 2 3" xfId="42"/>
    <cellStyle name="Normál 9 2 4" xfId="45"/>
    <cellStyle name="Normál 9 2 5" xfId="49"/>
    <cellStyle name="Normál 9 2 5 2" xfId="62"/>
    <cellStyle name="Normál 9 2 5 3" xfId="63"/>
    <cellStyle name="Normál 9 2 5 3 2" xfId="85"/>
    <cellStyle name="Normál 9 2 5 4" xfId="64"/>
    <cellStyle name="Normál 9 2 5 4 2" xfId="83"/>
    <cellStyle name="Normál 9 2 5 5" xfId="92"/>
    <cellStyle name="Normál 9 2 5 5 2" xfId="108"/>
    <cellStyle name="Normál 9 2 6" xfId="65"/>
    <cellStyle name="Normál 9 2 7" xfId="66"/>
    <cellStyle name="Normál 9 2 7 2" xfId="79"/>
    <cellStyle name="Normál 9 2 7 2 2" xfId="95"/>
    <cellStyle name="Normál 9 2 7 2 2 2" xfId="114"/>
    <cellStyle name="Normál 9 2 7 2 3" xfId="98"/>
    <cellStyle name="Normál 9 2 7 2 4" xfId="101"/>
    <cellStyle name="Normál 9 2 7 2 4 2" xfId="111"/>
    <cellStyle name="Normál 9 2 8" xfId="88"/>
    <cellStyle name="Normál 9 2 8 2" xfId="104"/>
    <cellStyle name="Normál 9 3" xfId="43"/>
    <cellStyle name="Normál 9 4" xfId="44"/>
    <cellStyle name="Normál 9 4 2" xfId="50"/>
    <cellStyle name="Normál 9 4 2 2" xfId="67"/>
    <cellStyle name="Normál 9 4 2 3" xfId="68"/>
    <cellStyle name="Normál 9 4 2 4" xfId="69"/>
    <cellStyle name="Normál 9 4 2 4 2" xfId="84"/>
    <cellStyle name="Normál 9 4 2 5" xfId="93"/>
    <cellStyle name="Normál 9 4 2 5 2" xfId="109"/>
    <cellStyle name="Normál 9 4 3" xfId="70"/>
    <cellStyle name="Normál 9 4 4" xfId="71"/>
    <cellStyle name="Normál 9 4 4 2" xfId="80"/>
    <cellStyle name="Normál 9 4 5" xfId="89"/>
    <cellStyle name="Normál 9 4 5 2" xfId="105"/>
    <cellStyle name="Normál 9 5" xfId="48"/>
    <cellStyle name="Normál 9 5 2" xfId="72"/>
    <cellStyle name="Normál 9 5 3" xfId="73"/>
    <cellStyle name="Normál 9 5 4" xfId="74"/>
    <cellStyle name="Normál 9 5 4 2" xfId="82"/>
    <cellStyle name="Normál 9 5 4 2 2" xfId="94"/>
    <cellStyle name="Normál 9 5 4 2 2 2" xfId="115"/>
    <cellStyle name="Normál 9 5 4 2 3" xfId="97"/>
    <cellStyle name="Normál 9 5 4 2 4" xfId="100"/>
    <cellStyle name="Normál 9 5 4 2 4 2" xfId="110"/>
    <cellStyle name="Normál 9 5 5" xfId="91"/>
    <cellStyle name="Normál 9 5 5 2" xfId="107"/>
    <cellStyle name="Normál 9 6" xfId="75"/>
    <cellStyle name="Normál 9 7" xfId="76"/>
    <cellStyle name="Normál 9 7 2" xfId="78"/>
    <cellStyle name="Normál 9 7 2 2" xfId="96"/>
    <cellStyle name="Normál 9 7 2 2 2" xfId="113"/>
    <cellStyle name="Normál 9 7 2 3" xfId="99"/>
    <cellStyle name="Normál 9 7 2 4" xfId="102"/>
    <cellStyle name="Normál 9 7 2 4 2" xfId="112"/>
    <cellStyle name="Normál 9 8" xfId="87"/>
    <cellStyle name="Normál 9 8 2" xfId="103"/>
    <cellStyle name="Normál_Munka6 2" xfId="77"/>
    <cellStyle name="Pénznem 2" xfId="31"/>
    <cellStyle name="Pénznem 2 2" xfId="32"/>
    <cellStyle name="Pénznem 2 3" xfId="33"/>
    <cellStyle name="Pénznem 3" xfId="34"/>
    <cellStyle name="Pénznem 4" xfId="35"/>
    <cellStyle name="Pénznem 4 2" xfId="36"/>
    <cellStyle name="Pénznem 4 3" xfId="3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8"/>
  <sheetViews>
    <sheetView tabSelected="1" view="pageBreakPreview" topLeftCell="A31" zoomScaleSheetLayoutView="100" workbookViewId="0">
      <selection activeCell="I102" sqref="I102"/>
    </sheetView>
  </sheetViews>
  <sheetFormatPr defaultRowHeight="12.75" x14ac:dyDescent="0.2"/>
  <cols>
    <col min="1" max="1" width="33.42578125" style="120" customWidth="1"/>
    <col min="2" max="2" width="10.140625" style="105" customWidth="1"/>
    <col min="3" max="3" width="9.85546875" style="105" customWidth="1"/>
    <col min="4" max="5" width="9.28515625" style="105" customWidth="1"/>
    <col min="6" max="6" width="9.5703125" style="105" bestFit="1" customWidth="1"/>
    <col min="7" max="7" width="9.140625" style="105" bestFit="1" customWidth="1"/>
    <col min="8" max="8" width="9.42578125" style="105" customWidth="1"/>
    <col min="9" max="9" width="9.5703125" style="105" bestFit="1" customWidth="1"/>
    <col min="10" max="10" width="8.85546875" style="105" customWidth="1"/>
    <col min="11" max="11" width="9.42578125" style="105" customWidth="1"/>
    <col min="12" max="12" width="9.5703125" style="105" bestFit="1" customWidth="1"/>
    <col min="13" max="13" width="9.28515625" style="105" customWidth="1"/>
    <col min="14" max="16384" width="9.140625" style="105"/>
  </cols>
  <sheetData>
    <row r="3" spans="1:4" x14ac:dyDescent="0.2">
      <c r="A3" s="240"/>
      <c r="B3" s="230"/>
      <c r="D3" s="224" t="s">
        <v>392</v>
      </c>
    </row>
    <row r="4" spans="1:4" x14ac:dyDescent="0.2">
      <c r="A4" s="676" t="s">
        <v>502</v>
      </c>
      <c r="B4" s="676"/>
      <c r="C4" s="676"/>
      <c r="D4" s="676"/>
    </row>
    <row r="5" spans="1:4" x14ac:dyDescent="0.2">
      <c r="A5" s="670" t="s">
        <v>47</v>
      </c>
      <c r="B5" s="670"/>
      <c r="D5" s="224" t="s">
        <v>23</v>
      </c>
    </row>
    <row r="6" spans="1:4" x14ac:dyDescent="0.2">
      <c r="A6" s="241" t="s">
        <v>152</v>
      </c>
      <c r="B6" s="667" t="s">
        <v>147</v>
      </c>
      <c r="C6" s="668"/>
      <c r="D6" s="669"/>
    </row>
    <row r="7" spans="1:4" ht="34.5" customHeight="1" x14ac:dyDescent="0.2">
      <c r="A7" s="55"/>
      <c r="B7" s="157" t="s">
        <v>557</v>
      </c>
      <c r="C7" s="157" t="s">
        <v>1304</v>
      </c>
      <c r="D7" s="157" t="s">
        <v>1311</v>
      </c>
    </row>
    <row r="8" spans="1:4" ht="22.5" x14ac:dyDescent="0.2">
      <c r="A8" s="242" t="s">
        <v>503</v>
      </c>
      <c r="B8" s="225">
        <v>22607</v>
      </c>
      <c r="C8" s="225">
        <v>34993</v>
      </c>
      <c r="D8" s="225">
        <v>34993</v>
      </c>
    </row>
    <row r="9" spans="1:4" x14ac:dyDescent="0.2">
      <c r="A9" s="242"/>
      <c r="B9" s="225"/>
      <c r="C9" s="225"/>
      <c r="D9" s="225"/>
    </row>
    <row r="10" spans="1:4" x14ac:dyDescent="0.2">
      <c r="A10" s="243" t="s">
        <v>42</v>
      </c>
      <c r="B10" s="36">
        <f>SUM(B8:B9)</f>
        <v>22607</v>
      </c>
      <c r="C10" s="36">
        <f>SUM(C8:C9)</f>
        <v>34993</v>
      </c>
      <c r="D10" s="36">
        <f>SUM(D8:D9)</f>
        <v>34993</v>
      </c>
    </row>
    <row r="13" spans="1:4" x14ac:dyDescent="0.2">
      <c r="A13" s="240"/>
      <c r="B13" s="230"/>
      <c r="D13" s="224" t="s">
        <v>504</v>
      </c>
    </row>
    <row r="14" spans="1:4" x14ac:dyDescent="0.2">
      <c r="A14" s="676" t="s">
        <v>513</v>
      </c>
      <c r="B14" s="676"/>
      <c r="C14" s="676"/>
      <c r="D14" s="676"/>
    </row>
    <row r="15" spans="1:4" x14ac:dyDescent="0.2">
      <c r="A15" s="670" t="s">
        <v>558</v>
      </c>
      <c r="B15" s="670"/>
      <c r="D15" s="224" t="s">
        <v>559</v>
      </c>
    </row>
    <row r="16" spans="1:4" x14ac:dyDescent="0.2">
      <c r="A16" s="241" t="s">
        <v>152</v>
      </c>
      <c r="B16" s="667" t="s">
        <v>147</v>
      </c>
      <c r="C16" s="668" t="s">
        <v>147</v>
      </c>
      <c r="D16" s="669" t="s">
        <v>147</v>
      </c>
    </row>
    <row r="17" spans="1:6" ht="33.75" x14ac:dyDescent="0.2">
      <c r="A17" s="55"/>
      <c r="B17" s="157" t="s">
        <v>557</v>
      </c>
      <c r="C17" s="157" t="s">
        <v>1304</v>
      </c>
      <c r="D17" s="157" t="s">
        <v>1311</v>
      </c>
    </row>
    <row r="18" spans="1:6" ht="22.5" x14ac:dyDescent="0.2">
      <c r="A18" s="242" t="s">
        <v>505</v>
      </c>
      <c r="B18" s="225">
        <v>379339</v>
      </c>
      <c r="C18" s="225">
        <v>388698</v>
      </c>
      <c r="D18" s="225">
        <v>388698</v>
      </c>
    </row>
    <row r="19" spans="1:6" x14ac:dyDescent="0.2">
      <c r="A19" s="242" t="s">
        <v>506</v>
      </c>
      <c r="B19" s="225">
        <v>50176</v>
      </c>
      <c r="C19" s="225">
        <v>46317</v>
      </c>
      <c r="D19" s="225">
        <v>46317</v>
      </c>
    </row>
    <row r="20" spans="1:6" x14ac:dyDescent="0.2">
      <c r="A20" s="243" t="s">
        <v>42</v>
      </c>
      <c r="B20" s="36">
        <f>SUM(B18:B19)</f>
        <v>429515</v>
      </c>
      <c r="C20" s="36">
        <f>SUM(C18:C19)</f>
        <v>435015</v>
      </c>
      <c r="D20" s="36">
        <f>SUM(D18:D19)</f>
        <v>435015</v>
      </c>
      <c r="F20" s="117"/>
    </row>
    <row r="23" spans="1:6" x14ac:dyDescent="0.2">
      <c r="A23" s="240"/>
      <c r="B23" s="230"/>
      <c r="D23" s="224" t="s">
        <v>507</v>
      </c>
    </row>
    <row r="24" spans="1:6" ht="25.15" customHeight="1" x14ac:dyDescent="0.2">
      <c r="A24" s="678" t="s">
        <v>508</v>
      </c>
      <c r="B24" s="678"/>
      <c r="C24" s="678"/>
      <c r="D24" s="678"/>
    </row>
    <row r="25" spans="1:6" x14ac:dyDescent="0.2">
      <c r="A25" s="670" t="s">
        <v>558</v>
      </c>
      <c r="B25" s="670"/>
      <c r="D25" s="224" t="s">
        <v>559</v>
      </c>
    </row>
    <row r="26" spans="1:6" x14ac:dyDescent="0.2">
      <c r="A26" s="241" t="s">
        <v>152</v>
      </c>
      <c r="B26" s="667" t="s">
        <v>147</v>
      </c>
      <c r="C26" s="668" t="s">
        <v>147</v>
      </c>
      <c r="D26" s="669" t="s">
        <v>147</v>
      </c>
    </row>
    <row r="27" spans="1:6" ht="33.75" x14ac:dyDescent="0.2">
      <c r="A27" s="55"/>
      <c r="B27" s="157" t="s">
        <v>557</v>
      </c>
      <c r="C27" s="157" t="s">
        <v>1304</v>
      </c>
      <c r="D27" s="157" t="s">
        <v>1311</v>
      </c>
    </row>
    <row r="28" spans="1:6" x14ac:dyDescent="0.2">
      <c r="A28" s="242" t="s">
        <v>511</v>
      </c>
      <c r="B28" s="225">
        <v>12386</v>
      </c>
      <c r="C28" s="225">
        <v>0</v>
      </c>
      <c r="D28" s="102">
        <v>0</v>
      </c>
    </row>
    <row r="29" spans="1:6" ht="33.75" x14ac:dyDescent="0.2">
      <c r="A29" s="242" t="s">
        <v>509</v>
      </c>
      <c r="B29" s="225">
        <v>61948</v>
      </c>
      <c r="C29" s="225">
        <v>66268</v>
      </c>
      <c r="D29" s="102">
        <v>66268</v>
      </c>
    </row>
    <row r="30" spans="1:6" x14ac:dyDescent="0.2">
      <c r="A30" s="242" t="s">
        <v>514</v>
      </c>
      <c r="B30" s="225">
        <v>34661</v>
      </c>
      <c r="C30" s="225">
        <v>29417</v>
      </c>
      <c r="D30" s="58">
        <v>29417</v>
      </c>
    </row>
    <row r="31" spans="1:6" ht="22.5" x14ac:dyDescent="0.2">
      <c r="A31" s="242" t="s">
        <v>515</v>
      </c>
      <c r="B31" s="225">
        <v>49719</v>
      </c>
      <c r="C31" s="225">
        <v>53528</v>
      </c>
      <c r="D31" s="58">
        <v>53528</v>
      </c>
    </row>
    <row r="32" spans="1:6" x14ac:dyDescent="0.2">
      <c r="A32" s="242" t="s">
        <v>510</v>
      </c>
      <c r="B32" s="225">
        <v>92203</v>
      </c>
      <c r="C32" s="225">
        <v>97845</v>
      </c>
      <c r="D32" s="58">
        <v>97845</v>
      </c>
    </row>
    <row r="33" spans="1:6" x14ac:dyDescent="0.2">
      <c r="A33" s="242" t="s">
        <v>1345</v>
      </c>
      <c r="B33" s="225"/>
      <c r="C33" s="225">
        <v>28823</v>
      </c>
      <c r="D33" s="58">
        <v>28823</v>
      </c>
    </row>
    <row r="34" spans="1:6" x14ac:dyDescent="0.2">
      <c r="A34" s="243" t="s">
        <v>42</v>
      </c>
      <c r="B34" s="36">
        <f>SUM(B28:B32)</f>
        <v>250917</v>
      </c>
      <c r="C34" s="36">
        <f>SUM(C28:C33)</f>
        <v>275881</v>
      </c>
      <c r="D34" s="36">
        <f>SUM(D28:D33)</f>
        <v>275881</v>
      </c>
      <c r="E34" s="231"/>
    </row>
    <row r="35" spans="1:6" x14ac:dyDescent="0.2">
      <c r="E35" s="117"/>
    </row>
    <row r="37" spans="1:6" x14ac:dyDescent="0.2">
      <c r="B37" s="226" t="s">
        <v>560</v>
      </c>
      <c r="C37" s="226"/>
      <c r="D37" s="226" t="s">
        <v>561</v>
      </c>
      <c r="E37" s="226"/>
    </row>
    <row r="38" spans="1:6" x14ac:dyDescent="0.2">
      <c r="A38" s="677" t="s">
        <v>500</v>
      </c>
      <c r="B38" s="677"/>
      <c r="C38" s="677"/>
      <c r="D38" s="677"/>
      <c r="E38" s="223"/>
    </row>
    <row r="39" spans="1:6" x14ac:dyDescent="0.2">
      <c r="A39" s="229"/>
      <c r="B39" s="223"/>
      <c r="C39" s="223"/>
      <c r="D39" s="223"/>
      <c r="E39" s="223"/>
    </row>
    <row r="40" spans="1:6" x14ac:dyDescent="0.2">
      <c r="A40" s="244"/>
      <c r="B40" s="226"/>
      <c r="C40" s="226"/>
      <c r="D40" s="226" t="s">
        <v>512</v>
      </c>
      <c r="E40" s="226"/>
    </row>
    <row r="41" spans="1:6" ht="13.15" customHeight="1" x14ac:dyDescent="0.2">
      <c r="A41" s="671" t="s">
        <v>152</v>
      </c>
      <c r="B41" s="667" t="s">
        <v>147</v>
      </c>
      <c r="C41" s="668" t="s">
        <v>147</v>
      </c>
      <c r="D41" s="669" t="s">
        <v>147</v>
      </c>
    </row>
    <row r="42" spans="1:6" x14ac:dyDescent="0.2">
      <c r="A42" s="672"/>
      <c r="B42" s="667"/>
      <c r="C42" s="668"/>
      <c r="D42" s="669"/>
    </row>
    <row r="43" spans="1:6" ht="33.75" x14ac:dyDescent="0.2">
      <c r="A43" s="55"/>
      <c r="B43" s="157" t="s">
        <v>557</v>
      </c>
      <c r="C43" s="157" t="s">
        <v>1304</v>
      </c>
      <c r="D43" s="157" t="s">
        <v>1311</v>
      </c>
    </row>
    <row r="44" spans="1:6" ht="22.5" x14ac:dyDescent="0.2">
      <c r="A44" s="242" t="s">
        <v>501</v>
      </c>
      <c r="B44" s="225">
        <v>19090</v>
      </c>
      <c r="C44" s="225">
        <v>19090</v>
      </c>
      <c r="D44" s="225">
        <v>19090</v>
      </c>
    </row>
    <row r="45" spans="1:6" x14ac:dyDescent="0.2">
      <c r="A45" s="243" t="s">
        <v>42</v>
      </c>
      <c r="B45" s="47">
        <f>SUM(B44:B44)</f>
        <v>19090</v>
      </c>
      <c r="C45" s="47">
        <f>SUM(C44:C44)</f>
        <v>19090</v>
      </c>
      <c r="D45" s="47">
        <f>SUM(D44:D44)</f>
        <v>19090</v>
      </c>
    </row>
    <row r="48" spans="1:6" ht="12" customHeight="1" x14ac:dyDescent="0.2">
      <c r="A48" s="240"/>
      <c r="C48" s="164"/>
      <c r="D48" s="230" t="s">
        <v>393</v>
      </c>
      <c r="E48" s="164"/>
      <c r="F48" s="108"/>
    </row>
    <row r="49" spans="1:6" x14ac:dyDescent="0.2">
      <c r="A49" s="676" t="s">
        <v>153</v>
      </c>
      <c r="B49" s="676"/>
      <c r="C49" s="676"/>
      <c r="D49" s="676"/>
    </row>
    <row r="50" spans="1:6" x14ac:dyDescent="0.2">
      <c r="A50" s="670" t="s">
        <v>558</v>
      </c>
      <c r="B50" s="670"/>
      <c r="D50" s="226" t="s">
        <v>559</v>
      </c>
    </row>
    <row r="51" spans="1:6" x14ac:dyDescent="0.2">
      <c r="A51" s="241" t="s">
        <v>152</v>
      </c>
      <c r="B51" s="667" t="s">
        <v>147</v>
      </c>
      <c r="C51" s="668" t="s">
        <v>147</v>
      </c>
      <c r="D51" s="669" t="s">
        <v>147</v>
      </c>
    </row>
    <row r="52" spans="1:6" ht="33.75" x14ac:dyDescent="0.2">
      <c r="A52" s="55"/>
      <c r="B52" s="157" t="s">
        <v>557</v>
      </c>
      <c r="C52" s="157" t="s">
        <v>1304</v>
      </c>
      <c r="D52" s="157" t="s">
        <v>1311</v>
      </c>
    </row>
    <row r="53" spans="1:6" x14ac:dyDescent="0.2">
      <c r="A53" s="242" t="s">
        <v>284</v>
      </c>
      <c r="B53" s="225">
        <v>1778</v>
      </c>
      <c r="C53" s="225">
        <v>1778</v>
      </c>
      <c r="D53" s="225">
        <v>1778</v>
      </c>
    </row>
    <row r="54" spans="1:6" x14ac:dyDescent="0.2">
      <c r="A54" s="242" t="s">
        <v>285</v>
      </c>
      <c r="B54" s="225">
        <v>72</v>
      </c>
      <c r="C54" s="225">
        <v>72</v>
      </c>
      <c r="D54" s="225">
        <v>72</v>
      </c>
    </row>
    <row r="55" spans="1:6" x14ac:dyDescent="0.2">
      <c r="A55" s="242" t="s">
        <v>580</v>
      </c>
      <c r="B55" s="225"/>
      <c r="C55" s="225">
        <v>3520</v>
      </c>
      <c r="D55" s="225">
        <v>3520</v>
      </c>
    </row>
    <row r="56" spans="1:6" ht="22.5" x14ac:dyDescent="0.2">
      <c r="A56" s="242" t="s">
        <v>581</v>
      </c>
      <c r="B56" s="225"/>
      <c r="C56" s="225">
        <v>1734</v>
      </c>
      <c r="D56" s="225">
        <v>1734</v>
      </c>
    </row>
    <row r="57" spans="1:6" x14ac:dyDescent="0.2">
      <c r="A57" s="242" t="s">
        <v>582</v>
      </c>
      <c r="B57" s="225"/>
      <c r="C57" s="225"/>
      <c r="D57" s="225"/>
    </row>
    <row r="58" spans="1:6" x14ac:dyDescent="0.2">
      <c r="A58" s="242" t="s">
        <v>1346</v>
      </c>
      <c r="B58" s="225"/>
      <c r="C58" s="225">
        <v>2376</v>
      </c>
      <c r="D58" s="225">
        <v>2376</v>
      </c>
    </row>
    <row r="59" spans="1:6" x14ac:dyDescent="0.2">
      <c r="A59" s="243" t="s">
        <v>42</v>
      </c>
      <c r="B59" s="36">
        <f>SUM(B53:B58)</f>
        <v>1850</v>
      </c>
      <c r="C59" s="36">
        <f>SUM(C53:C58)</f>
        <v>9480</v>
      </c>
      <c r="D59" s="36">
        <f>SUM(D53:D58)</f>
        <v>9480</v>
      </c>
      <c r="E59" s="231"/>
      <c r="F59" s="117"/>
    </row>
    <row r="60" spans="1:6" x14ac:dyDescent="0.2">
      <c r="A60" s="240"/>
      <c r="B60" s="232"/>
    </row>
    <row r="61" spans="1:6" x14ac:dyDescent="0.2">
      <c r="A61" s="240"/>
      <c r="B61" s="232"/>
      <c r="D61" s="230" t="s">
        <v>566</v>
      </c>
    </row>
    <row r="62" spans="1:6" x14ac:dyDescent="0.2">
      <c r="A62" s="676" t="s">
        <v>579</v>
      </c>
      <c r="B62" s="676"/>
      <c r="C62" s="676"/>
      <c r="D62" s="676"/>
    </row>
    <row r="63" spans="1:6" x14ac:dyDescent="0.2">
      <c r="A63" s="670" t="s">
        <v>558</v>
      </c>
      <c r="B63" s="670"/>
      <c r="D63" s="226" t="s">
        <v>559</v>
      </c>
    </row>
    <row r="64" spans="1:6" x14ac:dyDescent="0.2">
      <c r="A64" s="241" t="s">
        <v>152</v>
      </c>
      <c r="B64" s="667" t="s">
        <v>147</v>
      </c>
      <c r="C64" s="668" t="s">
        <v>147</v>
      </c>
      <c r="D64" s="669" t="s">
        <v>147</v>
      </c>
    </row>
    <row r="65" spans="1:5" ht="33.75" x14ac:dyDescent="0.2">
      <c r="A65" s="55"/>
      <c r="B65" s="157" t="s">
        <v>557</v>
      </c>
      <c r="C65" s="157" t="s">
        <v>1304</v>
      </c>
      <c r="D65" s="157" t="s">
        <v>1311</v>
      </c>
    </row>
    <row r="66" spans="1:5" x14ac:dyDescent="0.2">
      <c r="A66" s="242" t="s">
        <v>568</v>
      </c>
      <c r="B66" s="225">
        <v>0</v>
      </c>
      <c r="C66" s="225">
        <v>10551</v>
      </c>
      <c r="D66" s="225">
        <v>10551</v>
      </c>
    </row>
    <row r="67" spans="1:5" x14ac:dyDescent="0.2">
      <c r="A67" s="242" t="s">
        <v>569</v>
      </c>
      <c r="B67" s="225">
        <v>0</v>
      </c>
      <c r="C67" s="225">
        <v>31861</v>
      </c>
      <c r="D67" s="225">
        <v>31861</v>
      </c>
    </row>
    <row r="68" spans="1:5" ht="22.5" x14ac:dyDescent="0.2">
      <c r="A68" s="242" t="s">
        <v>570</v>
      </c>
      <c r="B68" s="225">
        <v>0</v>
      </c>
      <c r="C68" s="225">
        <v>140836</v>
      </c>
      <c r="D68" s="225">
        <v>140836</v>
      </c>
    </row>
    <row r="69" spans="1:5" x14ac:dyDescent="0.2">
      <c r="A69" s="242" t="s">
        <v>1317</v>
      </c>
      <c r="B69" s="225">
        <v>0</v>
      </c>
      <c r="C69" s="225">
        <v>1304</v>
      </c>
      <c r="D69" s="225">
        <v>1304</v>
      </c>
    </row>
    <row r="70" spans="1:5" x14ac:dyDescent="0.2">
      <c r="A70" s="242" t="s">
        <v>1122</v>
      </c>
      <c r="B70" s="225"/>
      <c r="C70" s="225"/>
      <c r="D70" s="225"/>
    </row>
    <row r="71" spans="1:5" x14ac:dyDescent="0.2">
      <c r="A71" s="243" t="s">
        <v>42</v>
      </c>
      <c r="B71" s="36">
        <f>SUM(B66:B70)</f>
        <v>0</v>
      </c>
      <c r="C71" s="36">
        <f>SUM(C66:C70)</f>
        <v>184552</v>
      </c>
      <c r="D71" s="36">
        <f>SUM(D66:D70)</f>
        <v>184552</v>
      </c>
      <c r="E71" s="234"/>
    </row>
    <row r="72" spans="1:5" x14ac:dyDescent="0.2">
      <c r="A72" s="240"/>
      <c r="B72" s="57"/>
      <c r="C72" s="57"/>
      <c r="D72" s="57"/>
      <c r="E72" s="235"/>
    </row>
    <row r="73" spans="1:5" x14ac:dyDescent="0.2">
      <c r="A73" s="240"/>
      <c r="B73" s="232"/>
      <c r="D73" s="230" t="s">
        <v>1802</v>
      </c>
      <c r="E73" s="235"/>
    </row>
    <row r="74" spans="1:5" ht="24.75" customHeight="1" x14ac:dyDescent="0.2">
      <c r="A74" s="678" t="s">
        <v>1803</v>
      </c>
      <c r="B74" s="678"/>
      <c r="C74" s="678"/>
      <c r="D74" s="678"/>
      <c r="E74" s="235"/>
    </row>
    <row r="75" spans="1:5" x14ac:dyDescent="0.2">
      <c r="A75" s="670" t="s">
        <v>558</v>
      </c>
      <c r="B75" s="670"/>
      <c r="D75" s="492" t="s">
        <v>559</v>
      </c>
      <c r="E75" s="235"/>
    </row>
    <row r="76" spans="1:5" x14ac:dyDescent="0.2">
      <c r="A76" s="241" t="s">
        <v>152</v>
      </c>
      <c r="B76" s="667" t="s">
        <v>147</v>
      </c>
      <c r="C76" s="668" t="s">
        <v>147</v>
      </c>
      <c r="D76" s="669" t="s">
        <v>147</v>
      </c>
      <c r="E76" s="235"/>
    </row>
    <row r="77" spans="1:5" ht="33.75" x14ac:dyDescent="0.2">
      <c r="A77" s="55"/>
      <c r="B77" s="157" t="s">
        <v>557</v>
      </c>
      <c r="C77" s="157" t="s">
        <v>1304</v>
      </c>
      <c r="D77" s="157" t="s">
        <v>1311</v>
      </c>
      <c r="E77" s="235"/>
    </row>
    <row r="78" spans="1:5" x14ac:dyDescent="0.2">
      <c r="A78" s="242" t="s">
        <v>1805</v>
      </c>
      <c r="B78" s="496">
        <v>0</v>
      </c>
      <c r="C78" s="496">
        <v>5105</v>
      </c>
      <c r="D78" s="496">
        <v>5105</v>
      </c>
      <c r="E78" s="235"/>
    </row>
    <row r="79" spans="1:5" x14ac:dyDescent="0.2">
      <c r="A79" s="242"/>
      <c r="B79" s="496"/>
      <c r="C79" s="496"/>
      <c r="D79" s="496"/>
      <c r="E79" s="235"/>
    </row>
    <row r="80" spans="1:5" x14ac:dyDescent="0.2">
      <c r="A80" s="243" t="s">
        <v>42</v>
      </c>
      <c r="B80" s="36">
        <f>SUM(B78:B79)</f>
        <v>0</v>
      </c>
      <c r="C80" s="36">
        <f t="shared" ref="C80:D80" si="0">SUM(C78:C79)</f>
        <v>5105</v>
      </c>
      <c r="D80" s="36">
        <f t="shared" si="0"/>
        <v>5105</v>
      </c>
      <c r="E80" s="235"/>
    </row>
    <row r="81" spans="1:13" x14ac:dyDescent="0.2">
      <c r="A81" s="563"/>
      <c r="B81" s="564"/>
      <c r="C81" s="564"/>
      <c r="D81" s="564"/>
      <c r="E81" s="235"/>
    </row>
    <row r="82" spans="1:13" x14ac:dyDescent="0.2">
      <c r="A82" s="675" t="s">
        <v>1804</v>
      </c>
      <c r="B82" s="675"/>
      <c r="C82" s="675"/>
      <c r="D82" s="675"/>
      <c r="E82" s="189"/>
    </row>
    <row r="83" spans="1:13" ht="24.75" customHeight="1" x14ac:dyDescent="0.2">
      <c r="A83" s="674" t="s">
        <v>151</v>
      </c>
      <c r="B83" s="674"/>
      <c r="C83" s="674"/>
      <c r="D83" s="674"/>
      <c r="E83" s="221"/>
    </row>
    <row r="84" spans="1:13" ht="12" customHeight="1" x14ac:dyDescent="0.2">
      <c r="A84" s="673" t="s">
        <v>149</v>
      </c>
      <c r="B84" s="673"/>
      <c r="C84" s="673"/>
      <c r="D84" s="673"/>
      <c r="E84" s="164"/>
    </row>
    <row r="85" spans="1:13" ht="12.75" customHeight="1" x14ac:dyDescent="0.2">
      <c r="A85" s="671" t="s">
        <v>148</v>
      </c>
      <c r="B85" s="667" t="s">
        <v>147</v>
      </c>
      <c r="C85" s="668" t="s">
        <v>286</v>
      </c>
      <c r="D85" s="669" t="s">
        <v>146</v>
      </c>
      <c r="E85" s="236"/>
    </row>
    <row r="86" spans="1:13" ht="14.25" customHeight="1" x14ac:dyDescent="0.2">
      <c r="A86" s="672"/>
      <c r="B86" s="667"/>
      <c r="C86" s="668"/>
      <c r="D86" s="669"/>
    </row>
    <row r="87" spans="1:13" ht="33.75" customHeight="1" x14ac:dyDescent="0.2">
      <c r="A87" s="55"/>
      <c r="B87" s="157" t="s">
        <v>557</v>
      </c>
      <c r="C87" s="157" t="s">
        <v>1304</v>
      </c>
      <c r="D87" s="157" t="s">
        <v>1311</v>
      </c>
    </row>
    <row r="88" spans="1:13" ht="22.5" x14ac:dyDescent="0.2">
      <c r="A88" s="245" t="s">
        <v>287</v>
      </c>
      <c r="B88" s="225">
        <v>6000</v>
      </c>
      <c r="C88" s="225">
        <v>6000</v>
      </c>
      <c r="D88" s="225">
        <v>6000</v>
      </c>
    </row>
    <row r="89" spans="1:13" ht="22.5" x14ac:dyDescent="0.2">
      <c r="A89" s="245" t="s">
        <v>288</v>
      </c>
      <c r="B89" s="225">
        <v>15000</v>
      </c>
      <c r="C89" s="225">
        <v>15000</v>
      </c>
      <c r="D89" s="225">
        <v>15000</v>
      </c>
    </row>
    <row r="90" spans="1:13" ht="14.25" customHeight="1" x14ac:dyDescent="0.2">
      <c r="A90" s="55"/>
      <c r="B90" s="227"/>
      <c r="C90" s="19"/>
      <c r="D90" s="19"/>
    </row>
    <row r="91" spans="1:13" x14ac:dyDescent="0.2">
      <c r="A91" s="243" t="s">
        <v>42</v>
      </c>
      <c r="B91" s="36">
        <f>SUM(B88:B90)</f>
        <v>21000</v>
      </c>
      <c r="C91" s="36">
        <f t="shared" ref="C91:D91" si="1">SUM(C88:C90)</f>
        <v>21000</v>
      </c>
      <c r="D91" s="36">
        <f t="shared" si="1"/>
        <v>21000</v>
      </c>
    </row>
    <row r="92" spans="1:13" x14ac:dyDescent="0.2">
      <c r="A92" s="240"/>
      <c r="B92" s="57"/>
      <c r="C92" s="57"/>
      <c r="D92" s="57"/>
    </row>
    <row r="93" spans="1:13" x14ac:dyDescent="0.2">
      <c r="M93" s="497" t="s">
        <v>1806</v>
      </c>
    </row>
    <row r="94" spans="1:13" x14ac:dyDescent="0.2">
      <c r="A94" s="676" t="s">
        <v>150</v>
      </c>
      <c r="B94" s="676"/>
      <c r="C94" s="676"/>
      <c r="D94" s="676"/>
      <c r="E94" s="676"/>
      <c r="F94" s="676"/>
      <c r="G94" s="676"/>
      <c r="H94" s="676"/>
      <c r="I94" s="676"/>
      <c r="J94" s="676"/>
      <c r="K94" s="676"/>
      <c r="L94" s="676"/>
      <c r="M94" s="676"/>
    </row>
    <row r="95" spans="1:13" x14ac:dyDescent="0.2">
      <c r="A95" s="673" t="s">
        <v>47</v>
      </c>
      <c r="B95" s="673"/>
      <c r="C95" s="673"/>
      <c r="D95" s="673"/>
      <c r="E95" s="673"/>
      <c r="M95" s="108" t="s">
        <v>23</v>
      </c>
    </row>
    <row r="96" spans="1:13" ht="12.75" customHeight="1" x14ac:dyDescent="0.2">
      <c r="A96" s="671" t="s">
        <v>148</v>
      </c>
      <c r="B96" s="667" t="s">
        <v>147</v>
      </c>
      <c r="C96" s="668"/>
      <c r="D96" s="669" t="s">
        <v>286</v>
      </c>
      <c r="E96" s="667" t="s">
        <v>299</v>
      </c>
      <c r="F96" s="668"/>
      <c r="G96" s="669"/>
      <c r="H96" s="667" t="s">
        <v>146</v>
      </c>
      <c r="I96" s="668"/>
      <c r="J96" s="669"/>
      <c r="K96" s="667" t="s">
        <v>145</v>
      </c>
      <c r="L96" s="668" t="s">
        <v>145</v>
      </c>
      <c r="M96" s="669" t="s">
        <v>145</v>
      </c>
    </row>
    <row r="97" spans="1:13" x14ac:dyDescent="0.2">
      <c r="A97" s="672"/>
      <c r="B97" s="667"/>
      <c r="C97" s="668"/>
      <c r="D97" s="669"/>
      <c r="E97" s="667"/>
      <c r="F97" s="668"/>
      <c r="G97" s="669"/>
      <c r="H97" s="667"/>
      <c r="I97" s="668"/>
      <c r="J97" s="669"/>
      <c r="K97" s="667"/>
      <c r="L97" s="668"/>
      <c r="M97" s="669"/>
    </row>
    <row r="98" spans="1:13" ht="33.75" customHeight="1" x14ac:dyDescent="0.2">
      <c r="A98" s="55"/>
      <c r="B98" s="157" t="s">
        <v>557</v>
      </c>
      <c r="C98" s="157" t="s">
        <v>1304</v>
      </c>
      <c r="D98" s="157" t="s">
        <v>1311</v>
      </c>
      <c r="E98" s="157" t="s">
        <v>557</v>
      </c>
      <c r="F98" s="157" t="s">
        <v>1304</v>
      </c>
      <c r="G98" s="157" t="s">
        <v>1311</v>
      </c>
      <c r="H98" s="157" t="s">
        <v>557</v>
      </c>
      <c r="I98" s="157" t="s">
        <v>1304</v>
      </c>
      <c r="J98" s="157" t="s">
        <v>1311</v>
      </c>
      <c r="K98" s="157" t="s">
        <v>557</v>
      </c>
      <c r="L98" s="157" t="s">
        <v>1304</v>
      </c>
      <c r="M98" s="157" t="s">
        <v>1311</v>
      </c>
    </row>
    <row r="99" spans="1:13" ht="22.5" x14ac:dyDescent="0.2">
      <c r="A99" s="242" t="s">
        <v>289</v>
      </c>
      <c r="B99" s="225">
        <v>8479</v>
      </c>
      <c r="C99" s="58">
        <v>5577</v>
      </c>
      <c r="D99" s="58">
        <v>5577</v>
      </c>
      <c r="E99" s="225"/>
      <c r="F99" s="225"/>
      <c r="G99" s="225"/>
      <c r="H99" s="237"/>
      <c r="I99" s="238"/>
      <c r="J99" s="238"/>
      <c r="K99" s="36">
        <f>+B99+H99+E99</f>
        <v>8479</v>
      </c>
      <c r="L99" s="36">
        <f>+C99+I99+F99</f>
        <v>5577</v>
      </c>
      <c r="M99" s="36">
        <f t="shared" ref="M99" si="2">+D99+J99+G99</f>
        <v>5577</v>
      </c>
    </row>
    <row r="100" spans="1:13" ht="22.5" x14ac:dyDescent="0.2">
      <c r="A100" s="242" t="s">
        <v>290</v>
      </c>
      <c r="B100" s="225">
        <v>32412</v>
      </c>
      <c r="C100" s="58">
        <v>37326</v>
      </c>
      <c r="D100" s="58">
        <v>37326</v>
      </c>
      <c r="E100" s="225"/>
      <c r="F100" s="225"/>
      <c r="G100" s="225"/>
      <c r="H100" s="237"/>
      <c r="I100" s="238"/>
      <c r="J100" s="238"/>
      <c r="K100" s="36">
        <f t="shared" ref="K100:K111" si="3">+B100+H100+E100</f>
        <v>32412</v>
      </c>
      <c r="L100" s="36">
        <f t="shared" ref="L100:L112" si="4">+C100+I100+F100</f>
        <v>37326</v>
      </c>
      <c r="M100" s="36">
        <f t="shared" ref="M100:M112" si="5">+D100+J100+G100</f>
        <v>37326</v>
      </c>
    </row>
    <row r="101" spans="1:13" ht="22.5" x14ac:dyDescent="0.2">
      <c r="A101" s="242" t="s">
        <v>291</v>
      </c>
      <c r="B101" s="225">
        <v>1644</v>
      </c>
      <c r="C101" s="58">
        <v>1642</v>
      </c>
      <c r="D101" s="58">
        <v>1642</v>
      </c>
      <c r="E101" s="225"/>
      <c r="F101" s="225"/>
      <c r="G101" s="225"/>
      <c r="H101" s="237"/>
      <c r="I101" s="238"/>
      <c r="J101" s="238"/>
      <c r="K101" s="36">
        <f t="shared" si="3"/>
        <v>1644</v>
      </c>
      <c r="L101" s="36">
        <f t="shared" si="4"/>
        <v>1642</v>
      </c>
      <c r="M101" s="36">
        <f t="shared" si="5"/>
        <v>1642</v>
      </c>
    </row>
    <row r="102" spans="1:13" ht="22.5" x14ac:dyDescent="0.2">
      <c r="A102" s="242" t="s">
        <v>292</v>
      </c>
      <c r="B102" s="225">
        <v>3000</v>
      </c>
      <c r="C102" s="58">
        <v>2264</v>
      </c>
      <c r="D102" s="58">
        <v>2264</v>
      </c>
      <c r="E102" s="225"/>
      <c r="F102" s="225"/>
      <c r="G102" s="225"/>
      <c r="H102" s="237"/>
      <c r="I102" s="238"/>
      <c r="J102" s="238"/>
      <c r="K102" s="36">
        <f t="shared" si="3"/>
        <v>3000</v>
      </c>
      <c r="L102" s="36">
        <f t="shared" si="4"/>
        <v>2264</v>
      </c>
      <c r="M102" s="36">
        <f t="shared" si="5"/>
        <v>2264</v>
      </c>
    </row>
    <row r="103" spans="1:13" x14ac:dyDescent="0.2">
      <c r="A103" s="242" t="s">
        <v>583</v>
      </c>
      <c r="B103" s="225"/>
      <c r="C103" s="58">
        <v>1318</v>
      </c>
      <c r="D103" s="58">
        <v>1318</v>
      </c>
      <c r="E103" s="225"/>
      <c r="F103" s="225"/>
      <c r="G103" s="225"/>
      <c r="H103" s="238"/>
      <c r="I103" s="238"/>
      <c r="J103" s="238"/>
      <c r="K103" s="36">
        <f t="shared" si="3"/>
        <v>0</v>
      </c>
      <c r="L103" s="36">
        <f t="shared" si="4"/>
        <v>1318</v>
      </c>
      <c r="M103" s="36">
        <f t="shared" si="5"/>
        <v>1318</v>
      </c>
    </row>
    <row r="104" spans="1:13" x14ac:dyDescent="0.2">
      <c r="A104" s="242" t="s">
        <v>571</v>
      </c>
      <c r="B104" s="225"/>
      <c r="C104" s="58">
        <v>2145</v>
      </c>
      <c r="D104" s="58">
        <v>2145</v>
      </c>
      <c r="E104" s="225"/>
      <c r="F104" s="225"/>
      <c r="G104" s="225"/>
      <c r="H104" s="238"/>
      <c r="I104" s="238"/>
      <c r="J104" s="238"/>
      <c r="K104" s="36">
        <f t="shared" si="3"/>
        <v>0</v>
      </c>
      <c r="L104" s="36">
        <f t="shared" si="4"/>
        <v>2145</v>
      </c>
      <c r="M104" s="36">
        <f t="shared" si="5"/>
        <v>2145</v>
      </c>
    </row>
    <row r="105" spans="1:13" x14ac:dyDescent="0.2">
      <c r="A105" s="242" t="s">
        <v>584</v>
      </c>
      <c r="B105" s="225"/>
      <c r="C105" s="58">
        <v>650</v>
      </c>
      <c r="D105" s="58">
        <v>650</v>
      </c>
      <c r="E105" s="225"/>
      <c r="F105" s="225"/>
      <c r="G105" s="225"/>
      <c r="H105" s="238"/>
      <c r="I105" s="238"/>
      <c r="J105" s="238"/>
      <c r="K105" s="36">
        <f t="shared" si="3"/>
        <v>0</v>
      </c>
      <c r="L105" s="36">
        <f t="shared" si="4"/>
        <v>650</v>
      </c>
      <c r="M105" s="36">
        <f t="shared" si="5"/>
        <v>650</v>
      </c>
    </row>
    <row r="106" spans="1:13" ht="22.5" x14ac:dyDescent="0.2">
      <c r="A106" s="242" t="s">
        <v>1293</v>
      </c>
      <c r="B106" s="225"/>
      <c r="C106" s="58">
        <v>47</v>
      </c>
      <c r="D106" s="58">
        <v>47</v>
      </c>
      <c r="E106" s="225"/>
      <c r="F106" s="225"/>
      <c r="G106" s="225"/>
      <c r="H106" s="238"/>
      <c r="I106" s="238"/>
      <c r="J106" s="238"/>
      <c r="K106" s="36"/>
      <c r="L106" s="36">
        <f t="shared" ref="L106" si="6">+C106+I106+F106</f>
        <v>47</v>
      </c>
      <c r="M106" s="36">
        <f t="shared" ref="M106" si="7">+D106+J106+G106</f>
        <v>47</v>
      </c>
    </row>
    <row r="107" spans="1:13" ht="22.5" x14ac:dyDescent="0.2">
      <c r="A107" s="242" t="s">
        <v>585</v>
      </c>
      <c r="B107" s="225"/>
      <c r="C107" s="225">
        <v>2940</v>
      </c>
      <c r="D107" s="225">
        <v>2940</v>
      </c>
      <c r="E107" s="225"/>
      <c r="F107" s="225">
        <v>4844</v>
      </c>
      <c r="G107" s="225">
        <v>4844</v>
      </c>
      <c r="H107" s="238"/>
      <c r="I107" s="238"/>
      <c r="J107" s="238"/>
      <c r="K107" s="36">
        <f t="shared" si="3"/>
        <v>0</v>
      </c>
      <c r="L107" s="36">
        <f t="shared" si="4"/>
        <v>7784</v>
      </c>
      <c r="M107" s="36">
        <f t="shared" si="5"/>
        <v>7784</v>
      </c>
    </row>
    <row r="108" spans="1:13" x14ac:dyDescent="0.2">
      <c r="A108" s="242" t="s">
        <v>491</v>
      </c>
      <c r="B108" s="225"/>
      <c r="C108" s="225">
        <v>1658</v>
      </c>
      <c r="D108" s="225">
        <v>1658</v>
      </c>
      <c r="E108" s="225"/>
      <c r="F108" s="225"/>
      <c r="G108" s="225"/>
      <c r="H108" s="276">
        <v>17872</v>
      </c>
      <c r="I108" s="58">
        <v>14899</v>
      </c>
      <c r="J108" s="58">
        <v>14899</v>
      </c>
      <c r="K108" s="36">
        <f t="shared" si="3"/>
        <v>17872</v>
      </c>
      <c r="L108" s="36">
        <f t="shared" si="4"/>
        <v>16557</v>
      </c>
      <c r="M108" s="36">
        <f t="shared" si="5"/>
        <v>16557</v>
      </c>
    </row>
    <row r="109" spans="1:13" x14ac:dyDescent="0.2">
      <c r="A109" s="242" t="s">
        <v>492</v>
      </c>
      <c r="B109" s="225"/>
      <c r="C109" s="225"/>
      <c r="D109" s="225"/>
      <c r="E109" s="225"/>
      <c r="F109" s="225"/>
      <c r="G109" s="225"/>
      <c r="H109" s="276">
        <v>753</v>
      </c>
      <c r="I109" s="58">
        <v>18309</v>
      </c>
      <c r="J109" s="58">
        <v>18309</v>
      </c>
      <c r="K109" s="36">
        <f t="shared" si="3"/>
        <v>753</v>
      </c>
      <c r="L109" s="36">
        <f t="shared" si="4"/>
        <v>18309</v>
      </c>
      <c r="M109" s="36">
        <f t="shared" si="5"/>
        <v>18309</v>
      </c>
    </row>
    <row r="110" spans="1:13" ht="12" customHeight="1" x14ac:dyDescent="0.2">
      <c r="A110" s="242" t="s">
        <v>493</v>
      </c>
      <c r="B110" s="239"/>
      <c r="C110" s="239"/>
      <c r="D110" s="225"/>
      <c r="E110" s="239"/>
      <c r="F110" s="239"/>
      <c r="G110" s="225"/>
      <c r="H110" s="276">
        <v>110</v>
      </c>
      <c r="I110" s="58">
        <v>87</v>
      </c>
      <c r="J110" s="58">
        <v>87</v>
      </c>
      <c r="K110" s="36">
        <f t="shared" si="3"/>
        <v>110</v>
      </c>
      <c r="L110" s="36">
        <f t="shared" si="4"/>
        <v>87</v>
      </c>
      <c r="M110" s="36">
        <f t="shared" si="5"/>
        <v>87</v>
      </c>
    </row>
    <row r="111" spans="1:13" ht="22.5" x14ac:dyDescent="0.2">
      <c r="A111" s="242" t="s">
        <v>494</v>
      </c>
      <c r="B111" s="228"/>
      <c r="C111" s="228"/>
      <c r="D111" s="238"/>
      <c r="E111" s="228"/>
      <c r="F111" s="228"/>
      <c r="G111" s="238"/>
      <c r="H111" s="276">
        <v>205</v>
      </c>
      <c r="I111" s="58">
        <v>884</v>
      </c>
      <c r="J111" s="58">
        <v>884</v>
      </c>
      <c r="K111" s="36">
        <f t="shared" si="3"/>
        <v>205</v>
      </c>
      <c r="L111" s="36">
        <f t="shared" si="4"/>
        <v>884</v>
      </c>
      <c r="M111" s="36">
        <f t="shared" si="5"/>
        <v>884</v>
      </c>
    </row>
    <row r="112" spans="1:13" x14ac:dyDescent="0.2">
      <c r="A112" s="242" t="s">
        <v>1807</v>
      </c>
      <c r="B112" s="533"/>
      <c r="C112" s="533"/>
      <c r="D112" s="238"/>
      <c r="E112" s="533"/>
      <c r="F112" s="533"/>
      <c r="G112" s="238"/>
      <c r="H112" s="496"/>
      <c r="I112" s="58">
        <v>100</v>
      </c>
      <c r="J112" s="58">
        <v>100</v>
      </c>
      <c r="K112" s="36"/>
      <c r="L112" s="36">
        <f t="shared" si="4"/>
        <v>100</v>
      </c>
      <c r="M112" s="36">
        <f t="shared" si="5"/>
        <v>100</v>
      </c>
    </row>
    <row r="113" spans="1:13" x14ac:dyDescent="0.2">
      <c r="A113" s="243" t="s">
        <v>42</v>
      </c>
      <c r="B113" s="36">
        <f>SUM(B99:B112)</f>
        <v>45535</v>
      </c>
      <c r="C113" s="36">
        <f t="shared" ref="C113:J113" si="8">SUM(C99:C112)</f>
        <v>55567</v>
      </c>
      <c r="D113" s="36">
        <f t="shared" si="8"/>
        <v>55567</v>
      </c>
      <c r="E113" s="36">
        <f t="shared" si="8"/>
        <v>0</v>
      </c>
      <c r="F113" s="36">
        <f t="shared" si="8"/>
        <v>4844</v>
      </c>
      <c r="G113" s="36">
        <f t="shared" si="8"/>
        <v>4844</v>
      </c>
      <c r="H113" s="36">
        <f t="shared" si="8"/>
        <v>18940</v>
      </c>
      <c r="I113" s="36">
        <f t="shared" si="8"/>
        <v>34279</v>
      </c>
      <c r="J113" s="36">
        <f t="shared" si="8"/>
        <v>34279</v>
      </c>
      <c r="K113" s="36">
        <f>SUM(K99:K112)</f>
        <v>64475</v>
      </c>
      <c r="L113" s="36">
        <f>SUM(L99:L112)</f>
        <v>94690</v>
      </c>
      <c r="M113" s="36">
        <f>SUM(M99:M112)</f>
        <v>94690</v>
      </c>
    </row>
    <row r="115" spans="1:13" x14ac:dyDescent="0.2">
      <c r="A115" s="246"/>
    </row>
    <row r="117" spans="1:13" x14ac:dyDescent="0.2">
      <c r="D117" s="117"/>
    </row>
    <row r="118" spans="1:13" x14ac:dyDescent="0.2">
      <c r="D118" s="117"/>
    </row>
  </sheetData>
  <mergeCells count="39">
    <mergeCell ref="A4:D4"/>
    <mergeCell ref="A62:D62"/>
    <mergeCell ref="A49:D49"/>
    <mergeCell ref="A74:D74"/>
    <mergeCell ref="B85:D85"/>
    <mergeCell ref="A84:D84"/>
    <mergeCell ref="A41:A42"/>
    <mergeCell ref="A50:B50"/>
    <mergeCell ref="B41:D41"/>
    <mergeCell ref="B42:D42"/>
    <mergeCell ref="B51:D51"/>
    <mergeCell ref="A75:B75"/>
    <mergeCell ref="B76:D76"/>
    <mergeCell ref="A94:M94"/>
    <mergeCell ref="A38:D38"/>
    <mergeCell ref="A24:D24"/>
    <mergeCell ref="B86:D86"/>
    <mergeCell ref="A5:B5"/>
    <mergeCell ref="A15:B15"/>
    <mergeCell ref="B6:D6"/>
    <mergeCell ref="B16:D16"/>
    <mergeCell ref="A63:B63"/>
    <mergeCell ref="A14:D14"/>
    <mergeCell ref="K96:M96"/>
    <mergeCell ref="K97:M97"/>
    <mergeCell ref="A25:B25"/>
    <mergeCell ref="B26:D26"/>
    <mergeCell ref="A96:A97"/>
    <mergeCell ref="A95:E95"/>
    <mergeCell ref="B96:D96"/>
    <mergeCell ref="B97:D97"/>
    <mergeCell ref="H96:J96"/>
    <mergeCell ref="H97:J97"/>
    <mergeCell ref="E96:G96"/>
    <mergeCell ref="E97:G97"/>
    <mergeCell ref="A85:A86"/>
    <mergeCell ref="A83:D83"/>
    <mergeCell ref="B64:D64"/>
    <mergeCell ref="A82:D82"/>
  </mergeCells>
  <printOptions horizontalCentered="1"/>
  <pageMargins left="0" right="0" top="0.35433070866141736" bottom="0.31496062992125984" header="0.27559055118110237" footer="0.19685039370078741"/>
  <pageSetup paperSize="9" scale="70" orientation="portrait" r:id="rId1"/>
  <headerFooter alignWithMargins="0">
    <oddHeader>&amp;LVeresegyház Város Önkormányzat</oddHeader>
  </headerFooter>
  <rowBreaks count="1" manualBreakCount="1">
    <brk id="71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G40" sqref="G40"/>
    </sheetView>
  </sheetViews>
  <sheetFormatPr defaultRowHeight="12.75" x14ac:dyDescent="0.2"/>
  <cols>
    <col min="4" max="4" width="14.85546875" customWidth="1"/>
    <col min="5" max="5" width="13.85546875" customWidth="1"/>
  </cols>
  <sheetData>
    <row r="1" spans="1:5" x14ac:dyDescent="0.2">
      <c r="E1" s="545" t="s">
        <v>197</v>
      </c>
    </row>
    <row r="4" spans="1:5" x14ac:dyDescent="0.2">
      <c r="A4" s="850"/>
      <c r="B4" s="850"/>
      <c r="C4" s="850"/>
      <c r="D4" s="850"/>
      <c r="E4" s="850"/>
    </row>
    <row r="5" spans="1:5" x14ac:dyDescent="0.2">
      <c r="A5" s="14"/>
      <c r="B5" s="14"/>
      <c r="C5" s="14"/>
      <c r="D5" s="14"/>
      <c r="E5" s="24"/>
    </row>
    <row r="6" spans="1:5" x14ac:dyDescent="0.2">
      <c r="A6" s="851" t="s">
        <v>202</v>
      </c>
      <c r="B6" s="851"/>
      <c r="C6" s="851"/>
      <c r="D6" s="851"/>
      <c r="E6" s="851"/>
    </row>
    <row r="7" spans="1:5" x14ac:dyDescent="0.2">
      <c r="A7" s="23"/>
      <c r="B7" s="23"/>
      <c r="C7" s="23"/>
      <c r="D7" s="23"/>
      <c r="E7" s="23"/>
    </row>
    <row r="8" spans="1:5" x14ac:dyDescent="0.2">
      <c r="A8" s="849" t="s">
        <v>201</v>
      </c>
      <c r="B8" s="849"/>
      <c r="C8" s="849"/>
      <c r="D8" s="849"/>
      <c r="E8" s="849"/>
    </row>
    <row r="9" spans="1:5" ht="17.25" customHeight="1" x14ac:dyDescent="0.2">
      <c r="A9" s="843" t="s">
        <v>114</v>
      </c>
      <c r="B9" s="844"/>
      <c r="C9" s="844"/>
      <c r="D9" s="845"/>
      <c r="E9" s="852" t="s">
        <v>147</v>
      </c>
    </row>
    <row r="10" spans="1:5" ht="18" customHeight="1" x14ac:dyDescent="0.2">
      <c r="A10" s="846"/>
      <c r="B10" s="847"/>
      <c r="C10" s="847"/>
      <c r="D10" s="848"/>
      <c r="E10" s="852"/>
    </row>
    <row r="11" spans="1:5" ht="18" customHeight="1" x14ac:dyDescent="0.2">
      <c r="A11" s="840"/>
      <c r="B11" s="841"/>
      <c r="C11" s="841"/>
      <c r="D11" s="842"/>
      <c r="E11" s="7"/>
    </row>
    <row r="12" spans="1:5" ht="18" customHeight="1" x14ac:dyDescent="0.2">
      <c r="A12" s="840"/>
      <c r="B12" s="841"/>
      <c r="C12" s="841"/>
      <c r="D12" s="842"/>
      <c r="E12" s="7"/>
    </row>
    <row r="13" spans="1:5" ht="18" customHeight="1" x14ac:dyDescent="0.2">
      <c r="A13" s="840" t="s">
        <v>200</v>
      </c>
      <c r="B13" s="841"/>
      <c r="C13" s="841"/>
      <c r="D13" s="842"/>
      <c r="E13" s="7"/>
    </row>
    <row r="14" spans="1:5" ht="16.5" customHeight="1" x14ac:dyDescent="0.2">
      <c r="A14" s="840"/>
      <c r="B14" s="841"/>
      <c r="C14" s="841"/>
      <c r="D14" s="842"/>
      <c r="E14" s="7"/>
    </row>
    <row r="15" spans="1:5" ht="18" customHeight="1" x14ac:dyDescent="0.2">
      <c r="A15" s="840"/>
      <c r="B15" s="841"/>
      <c r="C15" s="841"/>
      <c r="D15" s="842"/>
      <c r="E15" s="7"/>
    </row>
    <row r="16" spans="1:5" ht="16.5" customHeight="1" x14ac:dyDescent="0.2">
      <c r="A16" s="840"/>
      <c r="B16" s="841"/>
      <c r="C16" s="841"/>
      <c r="D16" s="842"/>
      <c r="E16" s="7"/>
    </row>
    <row r="17" spans="1:5" ht="18" customHeight="1" x14ac:dyDescent="0.2">
      <c r="A17" s="840"/>
      <c r="B17" s="841"/>
      <c r="C17" s="841"/>
      <c r="D17" s="842"/>
      <c r="E17" s="7"/>
    </row>
    <row r="18" spans="1:5" ht="17.25" customHeight="1" x14ac:dyDescent="0.2">
      <c r="A18" s="840"/>
      <c r="B18" s="841"/>
      <c r="C18" s="841"/>
      <c r="D18" s="842"/>
      <c r="E18" s="7"/>
    </row>
    <row r="19" spans="1:5" ht="18" customHeight="1" x14ac:dyDescent="0.2">
      <c r="A19" s="838" t="s">
        <v>199</v>
      </c>
      <c r="B19" s="839"/>
      <c r="C19" s="839"/>
      <c r="D19" s="839"/>
      <c r="E19" s="22"/>
    </row>
  </sheetData>
  <mergeCells count="14">
    <mergeCell ref="A9:D10"/>
    <mergeCell ref="A8:E8"/>
    <mergeCell ref="A4:E4"/>
    <mergeCell ref="A6:E6"/>
    <mergeCell ref="E9:E10"/>
    <mergeCell ref="A19:D19"/>
    <mergeCell ref="A11:D11"/>
    <mergeCell ref="A12:D12"/>
    <mergeCell ref="A16:D16"/>
    <mergeCell ref="A17:D17"/>
    <mergeCell ref="A18:D18"/>
    <mergeCell ref="A15:D15"/>
    <mergeCell ref="A14:D14"/>
    <mergeCell ref="A13:D13"/>
  </mergeCells>
  <printOptions horizontalCentered="1"/>
  <pageMargins left="0.43307086614173229" right="0.15748031496062992" top="0.35433070866141736" bottom="0.31496062992125984" header="0.27559055118110237" footer="0.19685039370078741"/>
  <pageSetup paperSize="9" scale="85" orientation="portrait" r:id="rId1"/>
  <headerFooter alignWithMargins="0">
    <oddHeader>&amp;LVeresegyház Város Önkormányzat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workbookViewId="0">
      <selection activeCell="O35" sqref="O35"/>
    </sheetView>
  </sheetViews>
  <sheetFormatPr defaultRowHeight="12.75" x14ac:dyDescent="0.2"/>
  <cols>
    <col min="1" max="1" width="37" style="105" customWidth="1"/>
    <col min="2" max="6" width="8.7109375" style="105" bestFit="1" customWidth="1"/>
    <col min="7" max="7" width="9.140625" style="105" customWidth="1"/>
    <col min="8" max="15" width="8.7109375" style="105" bestFit="1" customWidth="1"/>
    <col min="16" max="16" width="9.140625" style="105" customWidth="1"/>
    <col min="17" max="18" width="12.140625" style="105" customWidth="1"/>
    <col min="19" max="16384" width="9.140625" style="105"/>
  </cols>
  <sheetData>
    <row r="1" spans="1:18" x14ac:dyDescent="0.2">
      <c r="A1" s="675"/>
      <c r="B1" s="675"/>
      <c r="C1" s="106"/>
      <c r="P1" s="185" t="s">
        <v>1834</v>
      </c>
      <c r="Q1" s="185"/>
      <c r="R1" s="185"/>
    </row>
    <row r="2" spans="1:18" x14ac:dyDescent="0.2">
      <c r="A2" s="189"/>
      <c r="B2" s="189"/>
      <c r="C2" s="189"/>
    </row>
    <row r="3" spans="1:18" x14ac:dyDescent="0.2">
      <c r="A3" s="870" t="s">
        <v>341</v>
      </c>
      <c r="B3" s="870"/>
      <c r="C3" s="870"/>
      <c r="D3" s="870"/>
      <c r="E3" s="870"/>
      <c r="F3" s="870"/>
      <c r="G3" s="870"/>
      <c r="H3" s="870"/>
      <c r="I3" s="870"/>
      <c r="J3" s="870"/>
      <c r="K3" s="870"/>
      <c r="L3" s="870"/>
      <c r="M3" s="870"/>
      <c r="N3" s="870"/>
      <c r="O3" s="870"/>
      <c r="P3" s="870"/>
      <c r="Q3" s="190"/>
      <c r="R3" s="190"/>
    </row>
    <row r="4" spans="1:18" x14ac:dyDescent="0.2">
      <c r="A4" s="191"/>
      <c r="B4" s="191"/>
      <c r="C4" s="191"/>
    </row>
    <row r="5" spans="1:18" x14ac:dyDescent="0.2">
      <c r="A5" s="189"/>
      <c r="B5" s="189"/>
      <c r="C5" s="189"/>
    </row>
    <row r="6" spans="1:18" ht="12.75" customHeight="1" x14ac:dyDescent="0.2">
      <c r="A6" s="859" t="s">
        <v>207</v>
      </c>
      <c r="B6" s="853" t="s">
        <v>206</v>
      </c>
      <c r="C6" s="854"/>
      <c r="D6" s="866"/>
      <c r="E6" s="853" t="s">
        <v>330</v>
      </c>
      <c r="F6" s="854"/>
      <c r="G6" s="855"/>
      <c r="H6" s="853" t="s">
        <v>343</v>
      </c>
      <c r="I6" s="854"/>
      <c r="J6" s="855"/>
      <c r="K6" s="874" t="s">
        <v>331</v>
      </c>
      <c r="L6" s="875"/>
      <c r="M6" s="875"/>
      <c r="N6" s="875"/>
      <c r="O6" s="875"/>
      <c r="P6" s="834"/>
      <c r="Q6" s="162"/>
      <c r="R6" s="162"/>
    </row>
    <row r="7" spans="1:18" ht="29.25" customHeight="1" x14ac:dyDescent="0.2">
      <c r="A7" s="860"/>
      <c r="B7" s="867"/>
      <c r="C7" s="868"/>
      <c r="D7" s="869"/>
      <c r="E7" s="856" t="s">
        <v>329</v>
      </c>
      <c r="F7" s="857"/>
      <c r="G7" s="858"/>
      <c r="H7" s="856" t="s">
        <v>329</v>
      </c>
      <c r="I7" s="857"/>
      <c r="J7" s="858"/>
      <c r="K7" s="871" t="s">
        <v>332</v>
      </c>
      <c r="L7" s="872"/>
      <c r="M7" s="873"/>
      <c r="N7" s="871" t="s">
        <v>333</v>
      </c>
      <c r="O7" s="872"/>
      <c r="P7" s="873" t="s">
        <v>333</v>
      </c>
      <c r="Q7" s="99"/>
      <c r="R7" s="99"/>
    </row>
    <row r="8" spans="1:18" x14ac:dyDescent="0.2">
      <c r="A8" s="861"/>
      <c r="B8" s="192">
        <v>41640</v>
      </c>
      <c r="C8" s="192">
        <v>41912</v>
      </c>
      <c r="D8" s="192">
        <v>42004</v>
      </c>
      <c r="E8" s="192">
        <v>41640</v>
      </c>
      <c r="F8" s="192">
        <v>41912</v>
      </c>
      <c r="G8" s="192">
        <v>42004</v>
      </c>
      <c r="H8" s="192">
        <v>41640</v>
      </c>
      <c r="I8" s="192">
        <v>41912</v>
      </c>
      <c r="J8" s="192">
        <v>42004</v>
      </c>
      <c r="K8" s="192">
        <v>41640</v>
      </c>
      <c r="L8" s="192">
        <v>41912</v>
      </c>
      <c r="M8" s="192">
        <v>42004</v>
      </c>
      <c r="N8" s="192">
        <v>41640</v>
      </c>
      <c r="O8" s="192">
        <v>41912</v>
      </c>
      <c r="P8" s="192">
        <v>42004</v>
      </c>
      <c r="Q8" s="193"/>
      <c r="R8" s="193"/>
    </row>
    <row r="9" spans="1:18" x14ac:dyDescent="0.2">
      <c r="A9" s="194" t="s">
        <v>322</v>
      </c>
      <c r="B9" s="195">
        <f>66-4</f>
        <v>62</v>
      </c>
      <c r="C9" s="195">
        <f>66-4</f>
        <v>62</v>
      </c>
      <c r="D9" s="195">
        <v>70</v>
      </c>
      <c r="E9" s="195">
        <f>68-4</f>
        <v>64</v>
      </c>
      <c r="F9" s="195">
        <f>68-4</f>
        <v>64</v>
      </c>
      <c r="G9" s="195">
        <v>68</v>
      </c>
      <c r="H9" s="195">
        <f>64-4</f>
        <v>60</v>
      </c>
      <c r="I9" s="195">
        <f>66-4</f>
        <v>62</v>
      </c>
      <c r="J9" s="29">
        <v>67</v>
      </c>
      <c r="K9" s="195">
        <f>61-4</f>
        <v>57</v>
      </c>
      <c r="L9" s="195">
        <f>63-4</f>
        <v>59</v>
      </c>
      <c r="M9" s="195">
        <v>64</v>
      </c>
      <c r="N9" s="195">
        <v>5</v>
      </c>
      <c r="O9" s="195">
        <v>3</v>
      </c>
      <c r="P9" s="195">
        <v>6</v>
      </c>
      <c r="Q9" s="196"/>
      <c r="R9" s="196"/>
    </row>
    <row r="10" spans="1:18" x14ac:dyDescent="0.2">
      <c r="A10" s="194" t="s">
        <v>1302</v>
      </c>
      <c r="B10" s="195">
        <v>4</v>
      </c>
      <c r="C10" s="195">
        <v>4</v>
      </c>
      <c r="D10" s="195">
        <v>2</v>
      </c>
      <c r="E10" s="195">
        <v>4</v>
      </c>
      <c r="F10" s="195">
        <v>4</v>
      </c>
      <c r="G10" s="195">
        <v>2</v>
      </c>
      <c r="H10" s="195">
        <v>4</v>
      </c>
      <c r="I10" s="195">
        <v>4</v>
      </c>
      <c r="J10" s="29">
        <v>2</v>
      </c>
      <c r="K10" s="195">
        <v>4</v>
      </c>
      <c r="L10" s="195">
        <v>4</v>
      </c>
      <c r="M10" s="195">
        <v>2</v>
      </c>
      <c r="N10" s="195">
        <v>0</v>
      </c>
      <c r="O10" s="195">
        <v>0</v>
      </c>
      <c r="P10" s="195">
        <v>2</v>
      </c>
      <c r="Q10" s="196"/>
      <c r="R10" s="196"/>
    </row>
    <row r="11" spans="1:18" customFormat="1" ht="15" customHeight="1" x14ac:dyDescent="0.2">
      <c r="A11" s="278" t="s">
        <v>323</v>
      </c>
      <c r="B11" s="279">
        <v>40</v>
      </c>
      <c r="C11" s="279">
        <v>40</v>
      </c>
      <c r="D11" s="279">
        <v>40</v>
      </c>
      <c r="E11" s="279">
        <v>39</v>
      </c>
      <c r="F11" s="279">
        <v>39</v>
      </c>
      <c r="G11" s="279">
        <v>39</v>
      </c>
      <c r="H11" s="279">
        <v>39</v>
      </c>
      <c r="I11" s="279">
        <v>39</v>
      </c>
      <c r="J11" s="279">
        <v>39</v>
      </c>
      <c r="K11" s="279">
        <v>39</v>
      </c>
      <c r="L11" s="279">
        <v>39</v>
      </c>
      <c r="M11" s="279">
        <v>39</v>
      </c>
      <c r="N11" s="279">
        <v>1</v>
      </c>
      <c r="O11" s="279">
        <v>1</v>
      </c>
      <c r="P11" s="279">
        <v>1</v>
      </c>
      <c r="Q11" s="280"/>
      <c r="R11" s="280"/>
    </row>
    <row r="12" spans="1:18" customFormat="1" ht="15" customHeight="1" x14ac:dyDescent="0.2">
      <c r="A12" s="278" t="s">
        <v>324</v>
      </c>
      <c r="B12" s="279">
        <v>150</v>
      </c>
      <c r="C12" s="279">
        <v>150</v>
      </c>
      <c r="D12" s="279">
        <v>150</v>
      </c>
      <c r="E12" s="279">
        <v>155</v>
      </c>
      <c r="F12" s="279">
        <v>158</v>
      </c>
      <c r="G12" s="279">
        <v>156</v>
      </c>
      <c r="H12" s="279">
        <v>147</v>
      </c>
      <c r="I12" s="279">
        <v>150</v>
      </c>
      <c r="J12" s="279">
        <v>148</v>
      </c>
      <c r="K12" s="279">
        <v>149</v>
      </c>
      <c r="L12" s="279">
        <v>149</v>
      </c>
      <c r="M12" s="279">
        <v>147</v>
      </c>
      <c r="N12" s="279">
        <v>1</v>
      </c>
      <c r="O12" s="279">
        <v>1</v>
      </c>
      <c r="P12" s="279">
        <v>1</v>
      </c>
      <c r="Q12" s="280"/>
      <c r="R12" s="280"/>
    </row>
    <row r="13" spans="1:18" customFormat="1" ht="15" customHeight="1" x14ac:dyDescent="0.2">
      <c r="A13" s="278" t="s">
        <v>325</v>
      </c>
      <c r="B13" s="279">
        <v>166</v>
      </c>
      <c r="C13" s="279">
        <v>169</v>
      </c>
      <c r="D13" s="279">
        <v>177</v>
      </c>
      <c r="E13" s="279">
        <v>160</v>
      </c>
      <c r="F13" s="279">
        <v>171</v>
      </c>
      <c r="G13" s="279">
        <v>177</v>
      </c>
      <c r="H13" s="279">
        <v>159</v>
      </c>
      <c r="I13" s="279">
        <v>171</v>
      </c>
      <c r="J13" s="279">
        <v>177</v>
      </c>
      <c r="K13" s="279">
        <v>158</v>
      </c>
      <c r="L13" s="279">
        <v>157</v>
      </c>
      <c r="M13" s="279">
        <v>163</v>
      </c>
      <c r="N13" s="279">
        <v>8</v>
      </c>
      <c r="O13" s="279">
        <v>9</v>
      </c>
      <c r="P13" s="279">
        <v>9</v>
      </c>
      <c r="Q13" s="280"/>
      <c r="R13" s="280"/>
    </row>
    <row r="14" spans="1:18" customFormat="1" ht="15" customHeight="1" x14ac:dyDescent="0.2">
      <c r="A14" s="278" t="s">
        <v>326</v>
      </c>
      <c r="B14" s="279">
        <v>23</v>
      </c>
      <c r="C14" s="279">
        <v>23</v>
      </c>
      <c r="D14" s="279">
        <v>23</v>
      </c>
      <c r="E14" s="279">
        <v>22</v>
      </c>
      <c r="F14" s="279">
        <v>22</v>
      </c>
      <c r="G14" s="279">
        <v>22</v>
      </c>
      <c r="H14" s="279">
        <v>22</v>
      </c>
      <c r="I14" s="279">
        <v>22</v>
      </c>
      <c r="J14" s="279">
        <v>22</v>
      </c>
      <c r="K14" s="279">
        <v>21</v>
      </c>
      <c r="L14" s="279">
        <v>21</v>
      </c>
      <c r="M14" s="279">
        <v>21</v>
      </c>
      <c r="N14" s="279">
        <v>2</v>
      </c>
      <c r="O14" s="279">
        <v>1</v>
      </c>
      <c r="P14" s="279">
        <v>1</v>
      </c>
      <c r="Q14" s="280"/>
      <c r="R14" s="280"/>
    </row>
    <row r="15" spans="1:18" customFormat="1" ht="15" customHeight="1" x14ac:dyDescent="0.2">
      <c r="A15" s="278" t="s">
        <v>327</v>
      </c>
      <c r="B15" s="279">
        <v>4</v>
      </c>
      <c r="C15" s="279">
        <v>4</v>
      </c>
      <c r="D15" s="279">
        <v>5</v>
      </c>
      <c r="E15" s="279">
        <v>4</v>
      </c>
      <c r="F15" s="279">
        <v>4</v>
      </c>
      <c r="G15" s="279">
        <v>5</v>
      </c>
      <c r="H15" s="279">
        <v>4</v>
      </c>
      <c r="I15" s="279">
        <v>4</v>
      </c>
      <c r="J15" s="279">
        <v>5</v>
      </c>
      <c r="K15" s="279">
        <v>4</v>
      </c>
      <c r="L15" s="279">
        <v>4</v>
      </c>
      <c r="M15" s="279">
        <v>5</v>
      </c>
      <c r="N15" s="279">
        <v>0</v>
      </c>
      <c r="O15" s="279">
        <v>0</v>
      </c>
      <c r="P15" s="279">
        <v>0</v>
      </c>
      <c r="Q15" s="280"/>
      <c r="R15" s="280"/>
    </row>
    <row r="16" spans="1:18" ht="15" customHeight="1" x14ac:dyDescent="0.2">
      <c r="A16" s="194" t="s">
        <v>328</v>
      </c>
      <c r="B16" s="195">
        <v>37</v>
      </c>
      <c r="C16" s="195">
        <v>37</v>
      </c>
      <c r="D16" s="195">
        <v>37</v>
      </c>
      <c r="E16" s="195">
        <v>37</v>
      </c>
      <c r="F16" s="195">
        <v>37</v>
      </c>
      <c r="G16" s="195">
        <v>37</v>
      </c>
      <c r="H16" s="195">
        <v>37</v>
      </c>
      <c r="I16" s="195">
        <v>37</v>
      </c>
      <c r="J16" s="29">
        <v>37</v>
      </c>
      <c r="K16" s="195">
        <v>35</v>
      </c>
      <c r="L16" s="195">
        <v>35</v>
      </c>
      <c r="M16" s="195">
        <v>35</v>
      </c>
      <c r="N16" s="195">
        <v>2</v>
      </c>
      <c r="O16" s="195">
        <v>2</v>
      </c>
      <c r="P16" s="195">
        <v>2</v>
      </c>
      <c r="Q16" s="196"/>
      <c r="R16" s="196"/>
    </row>
    <row r="17" spans="1:18" ht="15.75" customHeight="1" x14ac:dyDescent="0.2">
      <c r="A17" s="197" t="s">
        <v>42</v>
      </c>
      <c r="B17" s="197">
        <f>SUM(B9:B16)</f>
        <v>486</v>
      </c>
      <c r="C17" s="197">
        <f t="shared" ref="C17:P17" si="0">SUM(C9:C16)</f>
        <v>489</v>
      </c>
      <c r="D17" s="197">
        <f t="shared" si="0"/>
        <v>504</v>
      </c>
      <c r="E17" s="197">
        <f t="shared" si="0"/>
        <v>485</v>
      </c>
      <c r="F17" s="197">
        <f t="shared" si="0"/>
        <v>499</v>
      </c>
      <c r="G17" s="197">
        <f t="shared" si="0"/>
        <v>506</v>
      </c>
      <c r="H17" s="197">
        <f t="shared" si="0"/>
        <v>472</v>
      </c>
      <c r="I17" s="197">
        <f t="shared" si="0"/>
        <v>489</v>
      </c>
      <c r="J17" s="197">
        <f t="shared" si="0"/>
        <v>497</v>
      </c>
      <c r="K17" s="197">
        <f t="shared" si="0"/>
        <v>467</v>
      </c>
      <c r="L17" s="197">
        <f t="shared" si="0"/>
        <v>468</v>
      </c>
      <c r="M17" s="197">
        <f t="shared" si="0"/>
        <v>476</v>
      </c>
      <c r="N17" s="197">
        <f t="shared" si="0"/>
        <v>19</v>
      </c>
      <c r="O17" s="197">
        <f t="shared" si="0"/>
        <v>17</v>
      </c>
      <c r="P17" s="197">
        <f t="shared" si="0"/>
        <v>22</v>
      </c>
      <c r="Q17" s="198"/>
      <c r="R17" s="198"/>
    </row>
    <row r="20" spans="1:18" x14ac:dyDescent="0.2">
      <c r="A20" s="199" t="s">
        <v>334</v>
      </c>
    </row>
    <row r="21" spans="1:18" x14ac:dyDescent="0.2">
      <c r="A21" s="199" t="s">
        <v>335</v>
      </c>
    </row>
    <row r="22" spans="1:18" x14ac:dyDescent="0.2">
      <c r="A22" s="199" t="s">
        <v>336</v>
      </c>
    </row>
    <row r="23" spans="1:18" x14ac:dyDescent="0.2">
      <c r="A23" s="199" t="s">
        <v>337</v>
      </c>
    </row>
    <row r="24" spans="1:18" x14ac:dyDescent="0.2">
      <c r="A24" s="199" t="s">
        <v>338</v>
      </c>
    </row>
    <row r="25" spans="1:18" x14ac:dyDescent="0.2">
      <c r="A25" s="199" t="s">
        <v>339</v>
      </c>
    </row>
    <row r="26" spans="1:18" x14ac:dyDescent="0.2">
      <c r="A26" s="199" t="s">
        <v>340</v>
      </c>
    </row>
    <row r="31" spans="1:18" x14ac:dyDescent="0.2">
      <c r="A31" s="865" t="s">
        <v>135</v>
      </c>
      <c r="B31" s="865"/>
      <c r="C31" s="865"/>
      <c r="D31" s="865"/>
      <c r="J31" s="185" t="s">
        <v>1835</v>
      </c>
    </row>
    <row r="32" spans="1:18" x14ac:dyDescent="0.2">
      <c r="A32" s="108"/>
      <c r="B32" s="186"/>
      <c r="C32" s="108"/>
      <c r="D32" s="108"/>
    </row>
    <row r="33" spans="1:10" x14ac:dyDescent="0.2">
      <c r="A33" s="862" t="s">
        <v>342</v>
      </c>
      <c r="B33" s="862"/>
      <c r="C33" s="862"/>
      <c r="D33" s="862"/>
      <c r="E33" s="862"/>
      <c r="F33" s="862"/>
      <c r="G33" s="862"/>
      <c r="H33" s="862"/>
      <c r="I33" s="862"/>
      <c r="J33" s="862"/>
    </row>
    <row r="34" spans="1:10" x14ac:dyDescent="0.2">
      <c r="A34" s="187"/>
      <c r="B34" s="187"/>
      <c r="C34" s="187"/>
      <c r="D34" s="187"/>
    </row>
    <row r="35" spans="1:10" x14ac:dyDescent="0.2">
      <c r="A35" s="108"/>
      <c r="B35" s="108"/>
      <c r="C35" s="108"/>
      <c r="D35" s="108"/>
    </row>
    <row r="36" spans="1:10" x14ac:dyDescent="0.2">
      <c r="A36" s="835" t="s">
        <v>207</v>
      </c>
      <c r="B36" s="864" t="s">
        <v>206</v>
      </c>
      <c r="C36" s="864"/>
      <c r="D36" s="864"/>
      <c r="E36" s="864" t="s">
        <v>206</v>
      </c>
      <c r="F36" s="864"/>
      <c r="G36" s="864"/>
      <c r="H36" s="864" t="s">
        <v>206</v>
      </c>
      <c r="I36" s="864"/>
      <c r="J36" s="864"/>
    </row>
    <row r="37" spans="1:10" ht="15" customHeight="1" x14ac:dyDescent="0.2">
      <c r="A37" s="836"/>
      <c r="B37" s="863">
        <v>41640</v>
      </c>
      <c r="C37" s="693"/>
      <c r="D37" s="694"/>
      <c r="E37" s="863">
        <v>41912</v>
      </c>
      <c r="F37" s="693"/>
      <c r="G37" s="694"/>
      <c r="H37" s="863">
        <v>42004</v>
      </c>
      <c r="I37" s="693"/>
      <c r="J37" s="694"/>
    </row>
    <row r="38" spans="1:10" ht="15" customHeight="1" x14ac:dyDescent="0.2">
      <c r="A38" s="837"/>
      <c r="B38" s="188" t="s">
        <v>205</v>
      </c>
      <c r="C38" s="188" t="s">
        <v>204</v>
      </c>
      <c r="D38" s="188" t="s">
        <v>203</v>
      </c>
      <c r="E38" s="188" t="s">
        <v>205</v>
      </c>
      <c r="F38" s="188" t="s">
        <v>204</v>
      </c>
      <c r="G38" s="188" t="s">
        <v>203</v>
      </c>
      <c r="H38" s="188" t="s">
        <v>205</v>
      </c>
      <c r="I38" s="188" t="s">
        <v>204</v>
      </c>
      <c r="J38" s="188" t="s">
        <v>203</v>
      </c>
    </row>
    <row r="39" spans="1:10" ht="15" customHeight="1" x14ac:dyDescent="0.2">
      <c r="A39" s="277" t="s">
        <v>449</v>
      </c>
      <c r="B39" s="277"/>
      <c r="C39" s="277"/>
      <c r="D39" s="277">
        <v>47</v>
      </c>
      <c r="E39" s="277"/>
      <c r="F39" s="277">
        <v>0</v>
      </c>
      <c r="G39" s="277">
        <v>30</v>
      </c>
      <c r="H39" s="277"/>
      <c r="I39" s="277"/>
      <c r="J39" s="277"/>
    </row>
    <row r="40" spans="1:10" ht="15" customHeight="1" x14ac:dyDescent="0.2">
      <c r="A40" s="29" t="s">
        <v>328</v>
      </c>
      <c r="B40" s="29"/>
      <c r="C40" s="29">
        <v>1</v>
      </c>
      <c r="D40" s="29"/>
      <c r="E40" s="29"/>
      <c r="F40" s="29"/>
      <c r="G40" s="29">
        <v>1</v>
      </c>
      <c r="H40" s="29"/>
      <c r="I40" s="29"/>
      <c r="J40" s="29">
        <v>1</v>
      </c>
    </row>
    <row r="41" spans="1:10" ht="15.7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</row>
    <row r="42" spans="1:10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</row>
    <row r="43" spans="1:10" x14ac:dyDescent="0.2">
      <c r="A43" s="200" t="s">
        <v>42</v>
      </c>
      <c r="B43" s="200">
        <f>SUM(B39:B42)</f>
        <v>0</v>
      </c>
      <c r="C43" s="200">
        <f t="shared" ref="C43:J43" si="1">SUM(C39:C42)</f>
        <v>1</v>
      </c>
      <c r="D43" s="200">
        <f t="shared" si="1"/>
        <v>47</v>
      </c>
      <c r="E43" s="200">
        <f t="shared" si="1"/>
        <v>0</v>
      </c>
      <c r="F43" s="200">
        <f t="shared" si="1"/>
        <v>0</v>
      </c>
      <c r="G43" s="200">
        <f t="shared" si="1"/>
        <v>31</v>
      </c>
      <c r="H43" s="200">
        <f t="shared" si="1"/>
        <v>0</v>
      </c>
      <c r="I43" s="200">
        <f t="shared" si="1"/>
        <v>0</v>
      </c>
      <c r="J43" s="200">
        <f t="shared" si="1"/>
        <v>1</v>
      </c>
    </row>
  </sheetData>
  <mergeCells count="18">
    <mergeCell ref="A1:B1"/>
    <mergeCell ref="B36:D36"/>
    <mergeCell ref="A36:A38"/>
    <mergeCell ref="A31:D31"/>
    <mergeCell ref="B6:D7"/>
    <mergeCell ref="A3:P3"/>
    <mergeCell ref="H36:J36"/>
    <mergeCell ref="H37:J37"/>
    <mergeCell ref="K7:M7"/>
    <mergeCell ref="K6:P6"/>
    <mergeCell ref="N7:P7"/>
    <mergeCell ref="H6:J7"/>
    <mergeCell ref="E6:G7"/>
    <mergeCell ref="A6:A8"/>
    <mergeCell ref="A33:J33"/>
    <mergeCell ref="B37:D37"/>
    <mergeCell ref="E36:G36"/>
    <mergeCell ref="E37:G37"/>
  </mergeCells>
  <printOptions horizontalCentered="1"/>
  <pageMargins left="0.19685039370078741" right="0.15748031496062992" top="0.35433070866141736" bottom="0.31496062992125984" header="0.27559055118110237" footer="0.19685039370078741"/>
  <pageSetup paperSize="9" scale="75" orientation="landscape" r:id="rId1"/>
  <headerFooter alignWithMargins="0">
    <oddHeader>&amp;LVeresegyház Város Önkormányzat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1"/>
  <sheetViews>
    <sheetView workbookViewId="0">
      <selection activeCell="G42" sqref="G42"/>
    </sheetView>
  </sheetViews>
  <sheetFormatPr defaultRowHeight="12.75" x14ac:dyDescent="0.2"/>
  <cols>
    <col min="1" max="1" width="6.28515625" style="105" customWidth="1"/>
    <col min="2" max="3" width="9.140625" style="105"/>
    <col min="4" max="4" width="26.42578125" style="105" customWidth="1"/>
    <col min="5" max="5" width="19.140625" style="105" customWidth="1"/>
    <col min="6" max="6" width="9.140625" style="105"/>
    <col min="7" max="7" width="7.140625" style="105" customWidth="1"/>
    <col min="8" max="16384" width="9.140625" style="105"/>
  </cols>
  <sheetData>
    <row r="2" spans="1:7" ht="14.25" customHeight="1" x14ac:dyDescent="0.2">
      <c r="A2" s="675" t="s">
        <v>1836</v>
      </c>
      <c r="B2" s="675"/>
      <c r="C2" s="675"/>
      <c r="D2" s="675"/>
      <c r="E2" s="675"/>
      <c r="F2" s="189"/>
    </row>
    <row r="4" spans="1:7" x14ac:dyDescent="0.2">
      <c r="A4" s="590"/>
      <c r="B4" s="107" t="s">
        <v>234</v>
      </c>
      <c r="C4" s="590"/>
      <c r="D4" s="590"/>
      <c r="E4" s="590"/>
      <c r="F4" s="590"/>
    </row>
    <row r="5" spans="1:7" x14ac:dyDescent="0.2">
      <c r="A5" s="590"/>
      <c r="B5" s="107" t="s">
        <v>233</v>
      </c>
      <c r="C5" s="107"/>
      <c r="D5" s="107"/>
      <c r="E5" s="107"/>
      <c r="F5" s="107"/>
    </row>
    <row r="6" spans="1:7" ht="15.75" x14ac:dyDescent="0.2">
      <c r="A6" s="590"/>
      <c r="B6" s="107"/>
      <c r="C6" s="107"/>
      <c r="D6" s="107"/>
      <c r="E6" s="107"/>
      <c r="F6" s="591"/>
    </row>
    <row r="7" spans="1:7" ht="15.75" x14ac:dyDescent="0.2">
      <c r="A7" s="590"/>
      <c r="B7" s="107"/>
      <c r="C7" s="107"/>
      <c r="D7" s="107" t="s">
        <v>232</v>
      </c>
      <c r="E7" s="107"/>
      <c r="F7" s="591"/>
    </row>
    <row r="8" spans="1:7" ht="15.75" x14ac:dyDescent="0.2">
      <c r="B8" s="591"/>
      <c r="C8" s="591"/>
      <c r="D8" s="591"/>
      <c r="E8" s="591"/>
      <c r="F8" s="591"/>
    </row>
    <row r="10" spans="1:7" x14ac:dyDescent="0.2">
      <c r="A10" s="592" t="s">
        <v>231</v>
      </c>
      <c r="B10" s="592"/>
      <c r="C10" s="592"/>
      <c r="D10" s="592"/>
      <c r="E10" s="592"/>
      <c r="F10" s="592"/>
      <c r="G10" s="592"/>
    </row>
    <row r="11" spans="1:7" x14ac:dyDescent="0.2">
      <c r="A11" s="592"/>
      <c r="B11" s="592"/>
      <c r="C11" s="592"/>
      <c r="D11" s="592"/>
      <c r="E11" s="592"/>
      <c r="F11" s="592"/>
      <c r="G11" s="592"/>
    </row>
    <row r="12" spans="1:7" x14ac:dyDescent="0.2">
      <c r="A12" s="592"/>
      <c r="B12" s="592"/>
      <c r="C12" s="592"/>
      <c r="D12" s="592"/>
      <c r="E12" s="592"/>
      <c r="F12" s="592"/>
      <c r="G12" s="592"/>
    </row>
    <row r="13" spans="1:7" x14ac:dyDescent="0.2">
      <c r="A13" s="592" t="s">
        <v>230</v>
      </c>
      <c r="B13" s="592"/>
      <c r="C13" s="592"/>
      <c r="D13" s="592"/>
      <c r="E13" s="592"/>
      <c r="F13" s="592"/>
      <c r="G13" s="592"/>
    </row>
    <row r="14" spans="1:7" x14ac:dyDescent="0.2">
      <c r="A14" s="592" t="s">
        <v>229</v>
      </c>
      <c r="B14" s="592"/>
      <c r="C14" s="592"/>
      <c r="D14" s="592"/>
      <c r="E14" s="592"/>
      <c r="F14" s="592"/>
      <c r="G14" s="592"/>
    </row>
    <row r="15" spans="1:7" x14ac:dyDescent="0.2">
      <c r="A15" s="593" t="s">
        <v>228</v>
      </c>
    </row>
    <row r="16" spans="1:7" x14ac:dyDescent="0.2">
      <c r="A16" s="593"/>
    </row>
    <row r="18" spans="1:5" x14ac:dyDescent="0.2">
      <c r="A18" s="883" t="s">
        <v>227</v>
      </c>
      <c r="B18" s="886"/>
      <c r="C18" s="680"/>
      <c r="D18" s="681"/>
      <c r="E18" s="493" t="s">
        <v>226</v>
      </c>
    </row>
    <row r="19" spans="1:5" x14ac:dyDescent="0.2">
      <c r="A19" s="884"/>
      <c r="B19" s="880" t="s">
        <v>225</v>
      </c>
      <c r="C19" s="881"/>
      <c r="D19" s="882"/>
      <c r="E19" s="594" t="s">
        <v>224</v>
      </c>
    </row>
    <row r="20" spans="1:5" x14ac:dyDescent="0.2">
      <c r="A20" s="885"/>
      <c r="B20" s="682"/>
      <c r="C20" s="683"/>
      <c r="D20" s="684"/>
      <c r="E20" s="594" t="s">
        <v>223</v>
      </c>
    </row>
    <row r="21" spans="1:5" ht="15" customHeight="1" x14ac:dyDescent="0.2">
      <c r="A21" s="595">
        <v>1</v>
      </c>
      <c r="B21" s="596" t="s">
        <v>222</v>
      </c>
      <c r="C21" s="525"/>
      <c r="D21" s="526"/>
      <c r="E21" s="526"/>
    </row>
    <row r="22" spans="1:5" ht="15" customHeight="1" x14ac:dyDescent="0.2">
      <c r="A22" s="597">
        <v>2</v>
      </c>
      <c r="B22" s="236" t="s">
        <v>221</v>
      </c>
      <c r="C22" s="162"/>
      <c r="D22" s="598"/>
      <c r="E22" s="598"/>
    </row>
    <row r="23" spans="1:5" ht="15" customHeight="1" x14ac:dyDescent="0.2">
      <c r="A23" s="494"/>
      <c r="B23" s="530" t="s">
        <v>220</v>
      </c>
      <c r="C23" s="531"/>
      <c r="D23" s="532"/>
      <c r="E23" s="532"/>
    </row>
    <row r="24" spans="1:5" ht="15" customHeight="1" x14ac:dyDescent="0.2">
      <c r="A24" s="597">
        <v>3</v>
      </c>
      <c r="B24" s="236" t="s">
        <v>219</v>
      </c>
      <c r="C24" s="162"/>
      <c r="D24" s="598"/>
      <c r="E24" s="598"/>
    </row>
    <row r="25" spans="1:5" ht="15" customHeight="1" x14ac:dyDescent="0.2">
      <c r="A25" s="494"/>
      <c r="B25" s="877" t="s">
        <v>218</v>
      </c>
      <c r="C25" s="878"/>
      <c r="D25" s="879"/>
      <c r="E25" s="532"/>
    </row>
    <row r="26" spans="1:5" ht="15" customHeight="1" x14ac:dyDescent="0.2">
      <c r="A26" s="494">
        <v>4</v>
      </c>
      <c r="B26" s="530" t="s">
        <v>217</v>
      </c>
      <c r="C26" s="531"/>
      <c r="D26" s="532"/>
      <c r="E26" s="532"/>
    </row>
    <row r="27" spans="1:5" ht="15" customHeight="1" x14ac:dyDescent="0.2">
      <c r="A27" s="597">
        <v>5</v>
      </c>
      <c r="B27" s="236" t="s">
        <v>216</v>
      </c>
      <c r="C27" s="162"/>
      <c r="D27" s="598"/>
      <c r="E27" s="598"/>
    </row>
    <row r="28" spans="1:5" ht="15" customHeight="1" x14ac:dyDescent="0.2">
      <c r="A28" s="494"/>
      <c r="B28" s="877" t="s">
        <v>215</v>
      </c>
      <c r="C28" s="878"/>
      <c r="D28" s="879"/>
      <c r="E28" s="532"/>
    </row>
    <row r="29" spans="1:5" ht="15" customHeight="1" x14ac:dyDescent="0.2">
      <c r="A29" s="595">
        <v>6</v>
      </c>
      <c r="B29" s="596" t="s">
        <v>214</v>
      </c>
      <c r="C29" s="525"/>
      <c r="D29" s="526"/>
      <c r="E29" s="526"/>
    </row>
    <row r="30" spans="1:5" ht="15" customHeight="1" x14ac:dyDescent="0.2">
      <c r="A30" s="595">
        <v>7</v>
      </c>
      <c r="B30" s="596" t="s">
        <v>213</v>
      </c>
      <c r="C30" s="525"/>
      <c r="D30" s="526"/>
      <c r="E30" s="526"/>
    </row>
    <row r="31" spans="1:5" ht="17.25" customHeight="1" x14ac:dyDescent="0.2">
      <c r="A31" s="530"/>
      <c r="B31" s="599" t="s">
        <v>17</v>
      </c>
      <c r="C31" s="531"/>
      <c r="D31" s="532"/>
      <c r="E31" s="532"/>
    </row>
    <row r="33" spans="1:5" x14ac:dyDescent="0.2">
      <c r="B33" s="593" t="s">
        <v>212</v>
      </c>
      <c r="C33" s="593"/>
      <c r="D33" s="593"/>
      <c r="E33" s="593"/>
    </row>
    <row r="34" spans="1:5" x14ac:dyDescent="0.2">
      <c r="B34" s="593" t="s">
        <v>211</v>
      </c>
      <c r="C34" s="593"/>
      <c r="D34" s="593"/>
      <c r="E34" s="593"/>
    </row>
    <row r="35" spans="1:5" x14ac:dyDescent="0.2">
      <c r="B35" s="593"/>
      <c r="C35" s="593"/>
      <c r="D35" s="593"/>
      <c r="E35" s="593"/>
    </row>
    <row r="37" spans="1:5" x14ac:dyDescent="0.2">
      <c r="A37" s="876" t="s">
        <v>210</v>
      </c>
      <c r="B37" s="876"/>
      <c r="C37" s="876"/>
      <c r="D37" s="876"/>
    </row>
    <row r="40" spans="1:5" x14ac:dyDescent="0.2">
      <c r="E40" s="105" t="s">
        <v>209</v>
      </c>
    </row>
    <row r="41" spans="1:5" x14ac:dyDescent="0.2">
      <c r="E41" s="105" t="s">
        <v>208</v>
      </c>
    </row>
  </sheetData>
  <mergeCells count="8">
    <mergeCell ref="A2:E2"/>
    <mergeCell ref="A37:D37"/>
    <mergeCell ref="B25:D25"/>
    <mergeCell ref="B28:D28"/>
    <mergeCell ref="B19:D19"/>
    <mergeCell ref="A18:A20"/>
    <mergeCell ref="B18:D18"/>
    <mergeCell ref="B20:D20"/>
  </mergeCells>
  <printOptions horizontalCentered="1"/>
  <pageMargins left="0.43307086614173229" right="0.15748031496062992" top="0.35433070866141736" bottom="0.31496062992125984" header="0.27559055118110237" footer="0.19685039370078741"/>
  <pageSetup paperSize="9" scale="85" orientation="portrait" r:id="rId1"/>
  <headerFooter alignWithMargins="0">
    <oddHeader>&amp;LVeresegyház Város Önkormányzat</oddHeader>
    <oddFooter>&amp;LVeresegyház, 2014. November 14.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"/>
  <sheetViews>
    <sheetView workbookViewId="0">
      <selection activeCell="N44" sqref="N44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16384" width="9.140625" style="105"/>
  </cols>
  <sheetData>
    <row r="1" spans="1:12" ht="12" customHeight="1" x14ac:dyDescent="0.2">
      <c r="H1" s="588"/>
      <c r="J1" s="492"/>
      <c r="K1" s="492" t="s">
        <v>283</v>
      </c>
      <c r="L1" s="492"/>
    </row>
    <row r="2" spans="1:12" ht="12" customHeight="1" x14ac:dyDescent="0.2">
      <c r="A2" s="862" t="s">
        <v>282</v>
      </c>
      <c r="B2" s="862"/>
      <c r="C2" s="862"/>
      <c r="D2" s="862"/>
      <c r="E2" s="862"/>
      <c r="F2" s="862"/>
      <c r="G2" s="862"/>
      <c r="H2" s="862"/>
      <c r="I2" s="862"/>
      <c r="J2" s="862"/>
      <c r="K2" s="862"/>
      <c r="L2" s="528"/>
    </row>
    <row r="3" spans="1:12" ht="12" customHeight="1" x14ac:dyDescent="0.2">
      <c r="A3" s="905"/>
      <c r="B3" s="905"/>
      <c r="C3" s="905"/>
      <c r="D3" s="589"/>
      <c r="E3" s="589"/>
      <c r="F3" s="108"/>
      <c r="G3" s="906"/>
      <c r="H3" s="906"/>
      <c r="J3" s="497"/>
      <c r="K3" s="497" t="s">
        <v>281</v>
      </c>
      <c r="L3" s="497"/>
    </row>
    <row r="4" spans="1:12" ht="12" customHeight="1" x14ac:dyDescent="0.2">
      <c r="A4" s="864" t="s">
        <v>3</v>
      </c>
      <c r="B4" s="864"/>
      <c r="C4" s="864"/>
      <c r="D4" s="864"/>
      <c r="E4" s="864"/>
      <c r="F4" s="864"/>
      <c r="G4" s="864" t="s">
        <v>4</v>
      </c>
      <c r="H4" s="864"/>
      <c r="I4" s="864"/>
      <c r="J4" s="864"/>
      <c r="K4" s="864"/>
      <c r="L4" s="35"/>
    </row>
    <row r="5" spans="1:12" x14ac:dyDescent="0.2">
      <c r="A5" s="843" t="s">
        <v>50</v>
      </c>
      <c r="B5" s="844"/>
      <c r="C5" s="845"/>
      <c r="D5" s="692" t="s">
        <v>280</v>
      </c>
      <c r="E5" s="693"/>
      <c r="F5" s="694"/>
      <c r="G5" s="843" t="s">
        <v>50</v>
      </c>
      <c r="H5" s="845"/>
      <c r="I5" s="864" t="s">
        <v>280</v>
      </c>
      <c r="J5" s="864"/>
      <c r="K5" s="864"/>
      <c r="L5" s="35"/>
    </row>
    <row r="6" spans="1:12" x14ac:dyDescent="0.2">
      <c r="A6" s="846"/>
      <c r="B6" s="847"/>
      <c r="C6" s="848"/>
      <c r="D6" s="529">
        <v>2015</v>
      </c>
      <c r="E6" s="529">
        <v>2016</v>
      </c>
      <c r="F6" s="529">
        <v>2017</v>
      </c>
      <c r="G6" s="846"/>
      <c r="H6" s="848"/>
      <c r="I6" s="529">
        <v>2015</v>
      </c>
      <c r="J6" s="529">
        <v>2016</v>
      </c>
      <c r="K6" s="529">
        <v>2017</v>
      </c>
      <c r="L6" s="35"/>
    </row>
    <row r="7" spans="1:12" ht="12" customHeight="1" x14ac:dyDescent="0.2">
      <c r="A7" s="889" t="s">
        <v>279</v>
      </c>
      <c r="B7" s="899"/>
      <c r="C7" s="890"/>
      <c r="D7" s="46">
        <f>+'19.1.'!D7+'19.2.'!D7+'19.3'!D8+'19. 4.'!D8+'19.5.'!D8+'19. 6.'!D8+'19.7.'!D8+'19. 8.'!D8</f>
        <v>812110</v>
      </c>
      <c r="E7" s="46">
        <f>+'19.1.'!E7+'19.2.'!E7+'19.3'!E8+'19. 4.'!E8+'19.5.'!E8+'19. 6.'!E8+'19.7.'!E8+'19. 8.'!E8</f>
        <v>820110</v>
      </c>
      <c r="F7" s="46">
        <f>+'19.1.'!F7+'19.2.'!F7+'19.3'!F8+'19. 4.'!F8+'19.5.'!F8+'19. 6.'!F8+'19.7.'!F8+'19. 8.'!F8</f>
        <v>840110</v>
      </c>
      <c r="G7" s="889" t="s">
        <v>278</v>
      </c>
      <c r="H7" s="890"/>
      <c r="I7" s="25">
        <f>+'19.1.'!I7+'19.2.'!I7+'19.3'!I8+'19. 4.'!I8+'19.5.'!I8+'19. 6.'!I8+'19.7.'!I8+'19. 8.'!I8</f>
        <v>1258878.3499999999</v>
      </c>
      <c r="J7" s="25">
        <f>+'19.1.'!J7+'19.2.'!J7+'19.3'!J8+'19. 4.'!J8+'19.5.'!J8+'19. 6.'!J8+'19.7.'!J8+'19. 8.'!J8</f>
        <v>1288974.7777499999</v>
      </c>
      <c r="K7" s="25">
        <f>+'19.1.'!K7+'19.2.'!K7+'19.3'!K8+'19. 4.'!K8+'19.5.'!K8+'19. 6.'!K8+'19.7.'!K8+'19. 8.'!K8</f>
        <v>1319724.3195257499</v>
      </c>
      <c r="L7" s="164"/>
    </row>
    <row r="8" spans="1:12" ht="12" customHeight="1" x14ac:dyDescent="0.2">
      <c r="A8" s="889" t="s">
        <v>277</v>
      </c>
      <c r="B8" s="899"/>
      <c r="C8" s="890"/>
      <c r="D8" s="46">
        <f>+'19.1.'!D8+'19.2.'!D8+'19.3'!D9+'19. 4.'!D9+'19.5.'!D9+'19. 6.'!D9+'19.7.'!D9+'19. 8.'!D9</f>
        <v>3864000</v>
      </c>
      <c r="E8" s="46">
        <f>+'19.1.'!E8+'19.2.'!E8+'19.3'!E9+'19. 4.'!E9+'19.5.'!E9+'19. 6.'!E9+'19.7.'!E9+'19. 8.'!E9</f>
        <v>3884200</v>
      </c>
      <c r="F8" s="46">
        <f>+'19.1.'!F8+'19.2.'!F8+'19.3'!F9+'19. 4.'!F9+'19.5.'!F9+'19. 6.'!F9+'19.7.'!F9+'19. 8.'!F9</f>
        <v>3904400</v>
      </c>
      <c r="G8" s="888" t="s">
        <v>276</v>
      </c>
      <c r="H8" s="888"/>
      <c r="I8" s="25">
        <f>+'19.1.'!I8+'19.2.'!I8+'19.3'!I9+'19. 4.'!I9+'19.5.'!I9+'19. 6.'!I9+'19.7.'!I9+'19. 8.'!I9</f>
        <v>350846.68500000006</v>
      </c>
      <c r="J8" s="25">
        <f>+'19.1.'!J8+'19.2.'!J8+'19.3'!J9+'19. 4.'!J9+'19.5.'!J9+'19. 6.'!J9+'19.7.'!J9+'19. 8.'!J9</f>
        <v>359060.20925499999</v>
      </c>
      <c r="K8" s="25">
        <f>+'19.1.'!K8+'19.2.'!K8+'19.3'!K9+'19. 4.'!K9+'19.5.'!K9+'19. 6.'!K9+'19.7.'!K9+'19. 8.'!K9</f>
        <v>367859.31151601498</v>
      </c>
      <c r="L8" s="164"/>
    </row>
    <row r="9" spans="1:12" ht="12" customHeight="1" x14ac:dyDescent="0.2">
      <c r="A9" s="889" t="s">
        <v>275</v>
      </c>
      <c r="B9" s="899"/>
      <c r="C9" s="890"/>
      <c r="D9" s="46">
        <f>+'19.1.'!D9+'19.2.'!D9+'19.3'!D10+'19. 4.'!D10+'19.5.'!D10+'19. 6.'!D10+'19.7.'!D10+'19. 8.'!D10</f>
        <v>1393725.2</v>
      </c>
      <c r="E9" s="46">
        <f>+'19.1.'!E9+'19.2.'!E9+'19.3'!E10+'19. 4.'!E10+'19.5.'!E10+'19. 6.'!E10+'19.7.'!E10+'19. 8.'!E10</f>
        <v>1413903.7050000001</v>
      </c>
      <c r="F9" s="46">
        <f>+'19.1.'!F9+'19.2.'!F9+'19.3'!F10+'19. 4.'!F10+'19.5.'!F10+'19. 6.'!F10+'19.7.'!F10+'19. 8.'!F10</f>
        <v>1434442.947625</v>
      </c>
      <c r="G9" s="888" t="s">
        <v>274</v>
      </c>
      <c r="H9" s="888"/>
      <c r="I9" s="25">
        <f>+'19.1.'!I9+'19.2.'!I9+'19.3'!I10+'19. 4.'!I10+'19.5.'!I10+'19. 6.'!I10+'19.7.'!I10+'19. 8.'!I10</f>
        <v>1605488.5699999998</v>
      </c>
      <c r="J9" s="25">
        <f>+'19.1.'!J9+'19.2.'!J9+'19.3'!J10+'19. 4.'!J10+'19.5.'!J10+'19. 6.'!J10+'19.7.'!J10+'19. 8.'!J10</f>
        <v>1652264.1799099999</v>
      </c>
      <c r="K9" s="25">
        <f>+'19.1.'!K9+'19.2.'!K9+'19.3'!K10+'19. 4.'!K10+'19.5.'!K10+'19. 6.'!K10+'19.7.'!K10+'19. 8.'!K10</f>
        <v>1700671.6933462301</v>
      </c>
      <c r="L9" s="164"/>
    </row>
    <row r="10" spans="1:12" ht="12" customHeight="1" x14ac:dyDescent="0.2">
      <c r="A10" s="889" t="s">
        <v>273</v>
      </c>
      <c r="B10" s="899"/>
      <c r="C10" s="890"/>
      <c r="D10" s="46">
        <f>+'19.1.'!D10+'19.2.'!D10+'19.3'!D11+'19. 4.'!D11+'19.5.'!D11+'19. 6.'!D11+'19.7.'!D11+'19. 8.'!D11</f>
        <v>50000</v>
      </c>
      <c r="E10" s="46">
        <f>+'19.1.'!E10+'19.2.'!E10+'19.3'!E11+'19. 4.'!E11+'19.5.'!E11+'19. 6.'!E11+'19.7.'!E11+'19. 8.'!E11</f>
        <v>52000</v>
      </c>
      <c r="F10" s="46">
        <f>+'19.1.'!F10+'19.2.'!F10+'19.3'!F11+'19. 4.'!F11+'19.5.'!F11+'19. 6.'!F11+'19.7.'!F11+'19. 8.'!F11</f>
        <v>54000</v>
      </c>
      <c r="G10" s="888" t="s">
        <v>272</v>
      </c>
      <c r="H10" s="888"/>
      <c r="I10" s="25">
        <f>+'19.1.'!I10+'19.2.'!I10+'19.3'!I11+'19. 4.'!I11+'19.5.'!I11+'19. 6.'!I11+'19.7.'!I11+'19. 8.'!I11</f>
        <v>139000</v>
      </c>
      <c r="J10" s="25">
        <f>+'19.1.'!J10+'19.2.'!J10+'19.3'!J11+'19. 4.'!J11+'19.5.'!J11+'19. 6.'!J11+'19.7.'!J11+'19. 8.'!J11</f>
        <v>143000</v>
      </c>
      <c r="K10" s="25">
        <f>+'19.1.'!K10+'19.2.'!K10+'19.3'!K11+'19. 4.'!K11+'19.5.'!K11+'19. 6.'!K11+'19.7.'!K11+'19. 8.'!K11</f>
        <v>147000</v>
      </c>
      <c r="L10" s="164"/>
    </row>
    <row r="11" spans="1:12" ht="12" customHeight="1" x14ac:dyDescent="0.2">
      <c r="A11" s="888"/>
      <c r="B11" s="888"/>
      <c r="C11" s="888"/>
      <c r="D11" s="46"/>
      <c r="E11" s="46"/>
      <c r="F11" s="46"/>
      <c r="G11" s="888" t="s">
        <v>271</v>
      </c>
      <c r="H11" s="888"/>
      <c r="I11" s="25">
        <f>+'19.1.'!I11+'19.2.'!I11+'19.3'!I12+'19. 4.'!I12+'19.5.'!I12+'19. 6.'!I12+'19.7.'!I12+'19. 8.'!I12</f>
        <v>410000</v>
      </c>
      <c r="J11" s="25">
        <f>+'19.1.'!J11+'19.2.'!J11+'19.3'!J12+'19. 4.'!J12+'19.5.'!J12+'19. 6.'!J12+'19.7.'!J12+'19. 8.'!J12</f>
        <v>415000</v>
      </c>
      <c r="K11" s="25">
        <f>+'19.1.'!K11+'19.2.'!K11+'19.3'!K12+'19. 4.'!K12+'19.5.'!K12+'19. 6.'!K12+'19.7.'!K12+'19. 8.'!K12</f>
        <v>420000</v>
      </c>
      <c r="L11" s="164"/>
    </row>
    <row r="12" spans="1:12" ht="12" customHeight="1" x14ac:dyDescent="0.2">
      <c r="A12" s="902"/>
      <c r="B12" s="902"/>
      <c r="C12" s="902"/>
      <c r="D12" s="46"/>
      <c r="E12" s="46"/>
      <c r="F12" s="46"/>
      <c r="G12" s="900" t="s">
        <v>270</v>
      </c>
      <c r="H12" s="901"/>
      <c r="I12" s="25">
        <f>+'19.1.'!I12+'19.2.'!I12+'19.3'!I13+'19. 4.'!I13+'19.5.'!I13+'19. 6.'!I13+'19.7.'!I13+'19. 8.'!I13</f>
        <v>180000</v>
      </c>
      <c r="J12" s="25">
        <f>+'19.1.'!J12+'19.2.'!J12+'19.3'!J13+'19. 4.'!J13+'19.5.'!J13+'19. 6.'!J13+'19.7.'!J13+'19. 8.'!J13</f>
        <v>180000</v>
      </c>
      <c r="K12" s="25">
        <f>+'19.1.'!K12+'19.2.'!K12+'19.3'!K13+'19. 4.'!K13+'19.5.'!K13+'19. 6.'!K13+'19.7.'!K13+'19. 8.'!K13</f>
        <v>180000</v>
      </c>
      <c r="L12" s="164"/>
    </row>
    <row r="13" spans="1:12" ht="12" customHeight="1" x14ac:dyDescent="0.2">
      <c r="A13" s="903"/>
      <c r="B13" s="903"/>
      <c r="C13" s="903"/>
      <c r="D13" s="46"/>
      <c r="E13" s="46"/>
      <c r="F13" s="46"/>
      <c r="G13" s="889" t="s">
        <v>269</v>
      </c>
      <c r="H13" s="890"/>
      <c r="I13" s="25">
        <f>+'19.1.'!I13+'19.2.'!I13+'19.3'!I14+'19. 4.'!I14+'19.5.'!I14+'19. 6.'!I14+'19.7.'!I14+'19. 8.'!I14</f>
        <v>0</v>
      </c>
      <c r="J13" s="25">
        <f>+'19.1.'!J13+'19.2.'!J13+'19.3'!J14+'19. 4.'!J14+'19.5.'!J14+'19. 6.'!J14+'19.7.'!J14+'19. 8.'!J14</f>
        <v>0</v>
      </c>
      <c r="K13" s="25">
        <f>+'19.1.'!K13+'19.2.'!K13+'19.3'!K14+'19. 4.'!K14+'19.5.'!K14+'19. 6.'!K14+'19.7.'!K14+'19. 8.'!K14</f>
        <v>0</v>
      </c>
      <c r="L13" s="164"/>
    </row>
    <row r="14" spans="1:12" ht="23.25" customHeight="1" x14ac:dyDescent="0.2">
      <c r="A14" s="894" t="s">
        <v>268</v>
      </c>
      <c r="B14" s="904"/>
      <c r="C14" s="895"/>
      <c r="D14" s="47">
        <f>SUM(D7:D10)</f>
        <v>6119835.2000000002</v>
      </c>
      <c r="E14" s="47">
        <f t="shared" ref="E14:F14" si="0">SUM(E7:E10)</f>
        <v>6170213.7050000001</v>
      </c>
      <c r="F14" s="47">
        <f t="shared" si="0"/>
        <v>6232952.947625</v>
      </c>
      <c r="G14" s="894" t="s">
        <v>267</v>
      </c>
      <c r="H14" s="895"/>
      <c r="I14" s="51">
        <f>SUM(I7:I11)</f>
        <v>3764213.6049999995</v>
      </c>
      <c r="J14" s="51">
        <f t="shared" ref="J14:K14" si="1">SUM(J7:J11)</f>
        <v>3858299.166915</v>
      </c>
      <c r="K14" s="51">
        <f t="shared" si="1"/>
        <v>3955255.3243879946</v>
      </c>
      <c r="L14" s="164"/>
    </row>
    <row r="15" spans="1:12" ht="12" customHeight="1" x14ac:dyDescent="0.2">
      <c r="A15" s="889"/>
      <c r="B15" s="899"/>
      <c r="C15" s="890"/>
      <c r="D15" s="46">
        <f>+'19.1.'!D15+'19.2.'!D15+'19.3'!D16+'19. 4.'!D16+'19.5.'!D16+'19. 6.'!D16+'19.7.'!D16+'19. 8.'!D16</f>
        <v>0</v>
      </c>
      <c r="E15" s="46">
        <f>+'19.1.'!E15+'19.2.'!E15+'19.3'!E16+'19. 4.'!E16+'19.5.'!E16+'19. 6.'!E16+'19.7.'!E16+'19. 8.'!E16</f>
        <v>0</v>
      </c>
      <c r="F15" s="46">
        <f>+'19.1.'!F15+'19.2.'!F15+'19.3'!F16+'19. 4.'!F16+'19.5.'!F16+'19. 6.'!F16+'19.7.'!F16+'19. 8.'!F16</f>
        <v>0</v>
      </c>
      <c r="G15" s="889"/>
      <c r="H15" s="890"/>
      <c r="I15" s="25"/>
      <c r="J15" s="25"/>
      <c r="K15" s="25"/>
      <c r="L15" s="164"/>
    </row>
    <row r="16" spans="1:12" ht="12" customHeight="1" x14ac:dyDescent="0.2">
      <c r="A16" s="889" t="s">
        <v>253</v>
      </c>
      <c r="B16" s="899"/>
      <c r="C16" s="890"/>
      <c r="D16" s="46">
        <f>+'19.1.'!D16+'19.2.'!D16+'19.3'!D17+'19. 4.'!D17+'19.5.'!D17+'19. 6.'!D17+'19.7.'!D17+'19. 8.'!D17</f>
        <v>0</v>
      </c>
      <c r="E16" s="46">
        <f>+'19.1.'!E16+'19.2.'!E16+'19.3'!E17+'19. 4.'!E17+'19.5.'!E17+'19. 6.'!E17+'19.7.'!E17+'19. 8.'!E17</f>
        <v>0</v>
      </c>
      <c r="F16" s="46">
        <f>+'19.1.'!F16+'19.2.'!F16+'19.3'!F17+'19. 4.'!F17+'19.5.'!F17+'19. 6.'!F17+'19.7.'!F17+'19. 8.'!F17</f>
        <v>0</v>
      </c>
      <c r="G16" s="889" t="s">
        <v>266</v>
      </c>
      <c r="H16" s="890"/>
      <c r="I16" s="46">
        <f>+'19.1.'!I16+'19.2.'!I16+'19.3'!I17+'19. 4.'!I17+'19.5.'!I17+'19. 6.'!I17+'19.7.'!I17+'19. 8.'!I17</f>
        <v>0</v>
      </c>
      <c r="J16" s="46">
        <f>+'19.1.'!J16+'19.2.'!J16+'19.3'!J17+'19. 4.'!J17+'19.5.'!J17+'19. 6.'!J17+'19.7.'!J17+'19. 8.'!J17</f>
        <v>0</v>
      </c>
      <c r="K16" s="46">
        <f>+'19.1.'!K16+'19.2.'!K16+'19.3'!K17+'19. 4.'!K17+'19.5.'!K17+'19. 6.'!K17+'19.7.'!K17+'19. 8.'!K17</f>
        <v>0</v>
      </c>
    </row>
    <row r="17" spans="1:12" ht="12" customHeight="1" x14ac:dyDescent="0.2">
      <c r="A17" s="887" t="s">
        <v>251</v>
      </c>
      <c r="B17" s="887"/>
      <c r="C17" s="887"/>
      <c r="D17" s="46">
        <f>+'19.1.'!D17+'19.2.'!D17+'19.3'!D18+'19. 4.'!D18+'19.5.'!D18+'19. 6.'!D18+'19.7.'!D18+'19. 8.'!D18</f>
        <v>0</v>
      </c>
      <c r="E17" s="46">
        <f>+'19.1.'!E17+'19.2.'!E17+'19.3'!E18+'19. 4.'!E18+'19.5.'!E18+'19. 6.'!E18+'19.7.'!E18+'19. 8.'!E18</f>
        <v>0</v>
      </c>
      <c r="F17" s="46">
        <f>+'19.1.'!F17+'19.2.'!F17+'19.3'!F18+'19. 4.'!F18+'19.5.'!F18+'19. 6.'!F18+'19.7.'!F18+'19. 8.'!F18</f>
        <v>0</v>
      </c>
      <c r="G17" s="887" t="s">
        <v>250</v>
      </c>
      <c r="H17" s="887"/>
      <c r="I17" s="46">
        <f>+'19.1.'!I17+'19.2.'!I17+'19.3'!I18+'19. 4.'!I18+'19.5.'!I18+'19. 6.'!I18+'19.7.'!I18+'19. 8.'!I18</f>
        <v>0</v>
      </c>
      <c r="J17" s="46">
        <f>+'19.1.'!J17+'19.2.'!J17+'19.3'!J18+'19. 4.'!J18+'19.5.'!J18+'19. 6.'!J18+'19.7.'!J18+'19. 8.'!J18</f>
        <v>0</v>
      </c>
      <c r="K17" s="46">
        <f>+'19.1.'!K17+'19.2.'!K17+'19.3'!K18+'19. 4.'!K18+'19.5.'!K18+'19. 6.'!K18+'19.7.'!K18+'19. 8.'!K18</f>
        <v>0</v>
      </c>
    </row>
    <row r="18" spans="1:12" ht="12" customHeight="1" x14ac:dyDescent="0.2">
      <c r="A18" s="887" t="s">
        <v>249</v>
      </c>
      <c r="B18" s="887"/>
      <c r="C18" s="887"/>
      <c r="D18" s="46">
        <f>+'19.1.'!D18+'19.2.'!D18+'19.3'!D19+'19. 4.'!D19+'19.5.'!D19+'19. 6.'!D19+'19.7.'!D19+'19. 8.'!D19</f>
        <v>0</v>
      </c>
      <c r="E18" s="46">
        <f>+'19.1.'!E18+'19.2.'!E18+'19.3'!E19+'19. 4.'!E19+'19.5.'!E19+'19. 6.'!E19+'19.7.'!E19+'19. 8.'!E19</f>
        <v>0</v>
      </c>
      <c r="F18" s="46">
        <f>+'19.1.'!F18+'19.2.'!F18+'19.3'!F19+'19. 4.'!F19+'19.5.'!F19+'19. 6.'!F19+'19.7.'!F19+'19. 8.'!F19</f>
        <v>0</v>
      </c>
      <c r="G18" s="887" t="s">
        <v>265</v>
      </c>
      <c r="H18" s="887"/>
      <c r="I18" s="46">
        <f>+'19.1.'!I18+'19.2.'!I18+'19.3'!I19+'19. 4.'!I19+'19.5.'!I19+'19. 6.'!I19+'19.7.'!I19+'19. 8.'!I19</f>
        <v>0</v>
      </c>
      <c r="J18" s="46">
        <f>+'19.1.'!J18+'19.2.'!J18+'19.3'!J19+'19. 4.'!J19+'19.5.'!J19+'19. 6.'!J19+'19.7.'!J19+'19. 8.'!J19</f>
        <v>0</v>
      </c>
      <c r="K18" s="46">
        <f>+'19.1.'!K18+'19.2.'!K18+'19.3'!K19+'19. 4.'!K19+'19.5.'!K19+'19. 6.'!K19+'19.7.'!K19+'19. 8.'!K19</f>
        <v>0</v>
      </c>
    </row>
    <row r="19" spans="1:12" ht="12" customHeight="1" x14ac:dyDescent="0.2">
      <c r="A19" s="888" t="s">
        <v>247</v>
      </c>
      <c r="B19" s="888"/>
      <c r="C19" s="888"/>
      <c r="D19" s="46">
        <f>+'19.1.'!D19+'19.2.'!D19+'19.3'!D20+'19. 4.'!D20+'19.5.'!D20+'19. 6.'!D20+'19.7.'!D20+'19. 8.'!D20</f>
        <v>0</v>
      </c>
      <c r="E19" s="46">
        <f>+'19.1.'!E19+'19.2.'!E19+'19.3'!E20+'19. 4.'!E20+'19.5.'!E20+'19. 6.'!E20+'19.7.'!E20+'19. 8.'!E20</f>
        <v>0</v>
      </c>
      <c r="F19" s="46">
        <f>+'19.1.'!F19+'19.2.'!F19+'19.3'!F20+'19. 4.'!F20+'19.5.'!F20+'19. 6.'!F20+'19.7.'!F20+'19. 8.'!F20</f>
        <v>0</v>
      </c>
      <c r="G19" s="887" t="s">
        <v>246</v>
      </c>
      <c r="H19" s="887"/>
      <c r="I19" s="46">
        <f>+'19.1.'!I19+'19.2.'!I19+'19.3'!I20+'19. 4.'!I20+'19.5.'!I20+'19. 6.'!I20+'19.7.'!I20+'19. 8.'!I20</f>
        <v>0</v>
      </c>
      <c r="J19" s="46">
        <f>+'19.1.'!J19+'19.2.'!J19+'19.3'!J20+'19. 4.'!J20+'19.5.'!J20+'19. 6.'!J20+'19.7.'!J20+'19. 8.'!J20</f>
        <v>0</v>
      </c>
      <c r="K19" s="46">
        <f>+'19.1.'!K19+'19.2.'!K19+'19.3'!K20+'19. 4.'!K20+'19.5.'!K20+'19. 6.'!K20+'19.7.'!K20+'19. 8.'!K20</f>
        <v>0</v>
      </c>
    </row>
    <row r="20" spans="1:12" ht="12" customHeight="1" x14ac:dyDescent="0.2">
      <c r="A20" s="888" t="s">
        <v>245</v>
      </c>
      <c r="B20" s="888"/>
      <c r="C20" s="888"/>
      <c r="D20" s="46">
        <f>+'19.1.'!D20+'19.2.'!D20+'19.3'!D21+'19. 4.'!D21+'19.5.'!D21+'19. 6.'!D21+'19.7.'!D21+'19. 8.'!D21</f>
        <v>0</v>
      </c>
      <c r="E20" s="46">
        <f>+'19.1.'!E20+'19.2.'!E20+'19.3'!E21+'19. 4.'!E21+'19.5.'!E21+'19. 6.'!E21+'19.7.'!E21+'19. 8.'!E21</f>
        <v>0</v>
      </c>
      <c r="F20" s="46">
        <f>+'19.1.'!F20+'19.2.'!F20+'19.3'!F21+'19. 4.'!F21+'19.5.'!F21+'19. 6.'!F21+'19.7.'!F21+'19. 8.'!F21</f>
        <v>0</v>
      </c>
      <c r="G20" s="887" t="s">
        <v>244</v>
      </c>
      <c r="H20" s="887"/>
      <c r="I20" s="46">
        <f>+'19.1.'!I20+'19.2.'!I20+'19.3'!I21+'19. 4.'!I21+'19.5.'!I21+'19. 6.'!I21+'19.7.'!I21+'19. 8.'!I21-1793678</f>
        <v>0.40499999979510903</v>
      </c>
      <c r="J20" s="46">
        <f>+'19.1.'!J20+'19.2.'!J20+'19.3'!J21+'19. 4.'!J21+'19.5.'!J21+'19. 6.'!J21+'19.7.'!J21+'19. 8.'!J21-1840385</f>
        <v>0.46191499964334071</v>
      </c>
      <c r="K20" s="46">
        <f>+'19.1.'!K20+'19.2.'!K20+'19.3'!K21+'19. 4.'!K21+'19.5.'!K21+'19. 6.'!K21+'19.7.'!K21+'19. 8.'!K21-1889602</f>
        <v>0.37676299479790032</v>
      </c>
    </row>
    <row r="21" spans="1:12" ht="12" customHeight="1" x14ac:dyDescent="0.2">
      <c r="A21" s="887" t="s">
        <v>243</v>
      </c>
      <c r="B21" s="887"/>
      <c r="C21" s="887"/>
      <c r="D21" s="46">
        <f>+'19.1.'!D21+'19.2.'!D21+'19.3'!D22+'19. 4.'!D22+'19.5.'!D22+'19. 6.'!D22+'19.7.'!D22+'19. 8.'!D22-1793678</f>
        <v>0.40499999979510903</v>
      </c>
      <c r="E21" s="46">
        <f>+'19.1.'!E21+'19.2.'!E21+'19.3'!E22+'19. 4.'!E22+'19.5.'!E22+'19. 6.'!E22+'19.7.'!E22+'19. 8.'!E22-1840385</f>
        <v>0.46191499964334071</v>
      </c>
      <c r="F21" s="46">
        <f>+'19.1.'!F21+'19.2.'!F21+'19.3'!F22+'19. 4.'!F22+'19.5.'!F22+'19. 6.'!F22+'19.7.'!F22+'19. 8.'!F22-1889602</f>
        <v>0.37676299479790032</v>
      </c>
      <c r="G21" s="887" t="s">
        <v>242</v>
      </c>
      <c r="H21" s="887"/>
      <c r="I21" s="46">
        <f>+'19.1.'!I21+'19.2.'!I21+'19.3'!I22+'19. 4.'!I22+'19.5.'!I22+'19. 6.'!I22+'19.7.'!I22+'19. 8.'!I22</f>
        <v>0</v>
      </c>
      <c r="J21" s="46">
        <f>+'19.1.'!J21+'19.2.'!J21+'19.3'!J22+'19. 4.'!J22+'19.5.'!J22+'19. 6.'!J22+'19.7.'!J22+'19. 8.'!J22</f>
        <v>0</v>
      </c>
      <c r="K21" s="46">
        <f>+'19.1.'!K21+'19.2.'!K21+'19.3'!K22+'19. 4.'!K22+'19.5.'!K22+'19. 6.'!K22+'19.7.'!K22+'19. 8.'!K22</f>
        <v>0</v>
      </c>
      <c r="L21" s="600"/>
    </row>
    <row r="22" spans="1:12" ht="12" customHeight="1" x14ac:dyDescent="0.2">
      <c r="A22" s="891"/>
      <c r="B22" s="891"/>
      <c r="C22" s="891"/>
      <c r="D22" s="46"/>
      <c r="E22" s="46"/>
      <c r="F22" s="46"/>
      <c r="G22" s="887" t="s">
        <v>241</v>
      </c>
      <c r="H22" s="887"/>
      <c r="I22" s="46">
        <f>+'19.1.'!I22+'19.2.'!I22+'19.3'!I23+'19. 4.'!I23+'19.5.'!I23+'19. 6.'!I23+'19.7.'!I23+'19. 8.'!I23</f>
        <v>0</v>
      </c>
      <c r="J22" s="46">
        <f>+'19.1.'!J22+'19.2.'!J22+'19.3'!J23+'19. 4.'!J23+'19.5.'!J23+'19. 6.'!J23+'19.7.'!J23+'19. 8.'!J23</f>
        <v>0</v>
      </c>
      <c r="K22" s="46">
        <f>+'19.1.'!K22+'19.2.'!K22+'19.3'!K23+'19. 4.'!K23+'19.5.'!K23+'19. 6.'!K23+'19.7.'!K23+'19. 8.'!K23</f>
        <v>0</v>
      </c>
    </row>
    <row r="23" spans="1:12" ht="12" customHeight="1" x14ac:dyDescent="0.2">
      <c r="A23" s="902" t="s">
        <v>264</v>
      </c>
      <c r="B23" s="902"/>
      <c r="C23" s="902"/>
      <c r="D23" s="47">
        <f>SUM(D15:D21)</f>
        <v>0.40499999979510903</v>
      </c>
      <c r="E23" s="47">
        <f t="shared" ref="E23:F23" si="2">SUM(E15:E21)</f>
        <v>0.46191499964334071</v>
      </c>
      <c r="F23" s="47">
        <f t="shared" si="2"/>
        <v>0.37676299479790032</v>
      </c>
      <c r="G23" s="894" t="s">
        <v>263</v>
      </c>
      <c r="H23" s="895"/>
      <c r="I23" s="46">
        <f>SUM(I16:I22)</f>
        <v>0.40499999979510903</v>
      </c>
      <c r="J23" s="46">
        <f t="shared" ref="J23:K23" si="3">SUM(J16:J22)</f>
        <v>0.46191499964334071</v>
      </c>
      <c r="K23" s="46">
        <f t="shared" si="3"/>
        <v>0.37676299479790032</v>
      </c>
      <c r="L23" s="164"/>
    </row>
    <row r="24" spans="1:12" ht="12" customHeight="1" x14ac:dyDescent="0.2">
      <c r="A24" s="903"/>
      <c r="B24" s="903"/>
      <c r="C24" s="903"/>
      <c r="D24" s="46"/>
      <c r="E24" s="46"/>
      <c r="F24" s="46"/>
      <c r="G24" s="892"/>
      <c r="H24" s="893"/>
      <c r="I24" s="46"/>
      <c r="J24" s="46"/>
      <c r="K24" s="46"/>
      <c r="L24" s="164"/>
    </row>
    <row r="25" spans="1:12" ht="12" customHeight="1" x14ac:dyDescent="0.2">
      <c r="A25" s="902" t="s">
        <v>262</v>
      </c>
      <c r="B25" s="902"/>
      <c r="C25" s="902"/>
      <c r="D25" s="47">
        <f>+D23+D14</f>
        <v>6119835.6050000004</v>
      </c>
      <c r="E25" s="47">
        <f t="shared" ref="E25:F25" si="4">+E23+E14</f>
        <v>6170214.1669149995</v>
      </c>
      <c r="F25" s="47">
        <f t="shared" si="4"/>
        <v>6232953.3243879946</v>
      </c>
      <c r="G25" s="894" t="s">
        <v>261</v>
      </c>
      <c r="H25" s="895"/>
      <c r="I25" s="47">
        <f>+I23+I14</f>
        <v>3764214.0099999993</v>
      </c>
      <c r="J25" s="47">
        <f t="shared" ref="J25:K25" si="5">+J23+J14</f>
        <v>3858299.6288299998</v>
      </c>
      <c r="K25" s="47">
        <f t="shared" si="5"/>
        <v>3955255.7011509892</v>
      </c>
      <c r="L25" s="164"/>
    </row>
    <row r="26" spans="1:12" ht="12" customHeight="1" x14ac:dyDescent="0.2">
      <c r="A26" s="888"/>
      <c r="B26" s="888"/>
      <c r="C26" s="888"/>
      <c r="D26" s="46"/>
      <c r="E26" s="46"/>
      <c r="F26" s="46"/>
      <c r="G26" s="889"/>
      <c r="H26" s="890"/>
      <c r="I26" s="46"/>
      <c r="J26" s="46"/>
      <c r="K26" s="46"/>
      <c r="L26" s="164"/>
    </row>
    <row r="27" spans="1:12" ht="12.75" customHeight="1" x14ac:dyDescent="0.2">
      <c r="A27" s="889" t="s">
        <v>260</v>
      </c>
      <c r="B27" s="899"/>
      <c r="C27" s="890"/>
      <c r="D27" s="46">
        <f>+'19.1.'!D27+'19.2.'!D27+'19.3'!D28+'19. 4.'!D28+'19.5.'!D28+'19. 6.'!D28+'19.7.'!D28+'19. 8.'!D28</f>
        <v>15000</v>
      </c>
      <c r="E27" s="46">
        <f>+'19.1.'!E27+'19.2.'!E27+'19.3'!E28+'19. 4.'!E28+'19.5.'!E28+'19. 6.'!E28+'19.7.'!E28+'19. 8.'!E28</f>
        <v>18000</v>
      </c>
      <c r="F27" s="46">
        <f>+'19.1.'!F27+'19.2.'!F27+'19.3'!F28+'19. 4.'!F28+'19.5.'!F28+'19. 6.'!F28+'19.7.'!F28+'19. 8.'!F28</f>
        <v>21000</v>
      </c>
      <c r="G27" s="889" t="s">
        <v>259</v>
      </c>
      <c r="H27" s="890"/>
      <c r="I27" s="46">
        <f>+'19.1.'!I27+'19.2.'!I27+'19.3'!I28+'19. 4.'!I28+'19.5.'!I28+'19. 6.'!I28+'19.7.'!I28+'19. 8.'!I28</f>
        <v>2007653</v>
      </c>
      <c r="J27" s="46">
        <f>+'19.1.'!J27+'19.2.'!J27+'19.3'!J28+'19. 4.'!J28+'19.5.'!J28+'19. 6.'!J28+'19.7.'!J28+'19. 8.'!J28</f>
        <v>2008739.25</v>
      </c>
      <c r="K27" s="46">
        <f>+'19.1.'!K27+'19.2.'!K27+'19.3'!K28+'19. 4.'!K28+'19.5.'!K28+'19. 6.'!K28+'19.7.'!K28+'19. 8.'!K28</f>
        <v>2008332.28125</v>
      </c>
      <c r="L27" s="164"/>
    </row>
    <row r="28" spans="1:12" ht="12" customHeight="1" x14ac:dyDescent="0.2">
      <c r="A28" s="889" t="s">
        <v>258</v>
      </c>
      <c r="B28" s="899"/>
      <c r="C28" s="890"/>
      <c r="D28" s="46">
        <f>+'19.1.'!D28+'19.2.'!D28+'19.3'!D29+'19. 4.'!D29+'19.5.'!D29+'19. 6.'!D29+'19.7.'!D29+'19. 8.'!D29</f>
        <v>186378</v>
      </c>
      <c r="E28" s="46">
        <f>+'19.1.'!E28+'19.2.'!E28+'19.3'!E29+'19. 4.'!E29+'19.5.'!E29+'19. 6.'!E29+'19.7.'!E29+'19. 8.'!E29</f>
        <v>237085</v>
      </c>
      <c r="F28" s="46">
        <f>+'19.1.'!F28+'19.2.'!F28+'19.3'!F29+'19. 4.'!F29+'19.5.'!F29+'19. 6.'!F29+'19.7.'!F29+'19. 8.'!F29</f>
        <v>273302</v>
      </c>
      <c r="G28" s="889" t="s">
        <v>198</v>
      </c>
      <c r="H28" s="890"/>
      <c r="I28" s="46">
        <f>+'19.1.'!I28+'19.2.'!I28+'19.3'!I29+'19. 4.'!I29+'19.5.'!I29+'19. 6.'!I29+'19.7.'!I29+'19. 8.'!I29</f>
        <v>181824</v>
      </c>
      <c r="J28" s="46">
        <f>+'19.1.'!J28+'19.2.'!J28+'19.3'!J29+'19. 4.'!J29+'19.5.'!J29+'19. 6.'!J29+'19.7.'!J29+'19. 8.'!J29</f>
        <v>186860</v>
      </c>
      <c r="K28" s="46">
        <f>+'19.1.'!K28+'19.2.'!K28+'19.3'!K29+'19. 4.'!K29+'19.5.'!K29+'19. 6.'!K29+'19.7.'!K29+'19. 8.'!K29</f>
        <v>193396</v>
      </c>
      <c r="L28" s="164"/>
    </row>
    <row r="29" spans="1:12" ht="12" customHeight="1" x14ac:dyDescent="0.2">
      <c r="A29" s="888" t="s">
        <v>257</v>
      </c>
      <c r="B29" s="888"/>
      <c r="C29" s="888"/>
      <c r="D29" s="46">
        <f>+'19.1.'!D29+'19.2.'!D29+'19.3'!D30+'19. 4.'!D30+'19.5.'!D30+'19. 6.'!D30+'19.7.'!D30+'19. 8.'!D30</f>
        <v>34000</v>
      </c>
      <c r="E29" s="46">
        <f>+'19.1.'!E29+'19.2.'!E29+'19.3'!E30+'19. 4.'!E30+'19.5.'!E30+'19. 6.'!E30+'19.7.'!E30+'19. 8.'!E30</f>
        <v>34000</v>
      </c>
      <c r="F29" s="46">
        <f>+'19.1.'!F29+'19.2.'!F29+'19.3'!F30+'19. 4.'!F30+'19.5.'!F30+'19. 6.'!F30+'19.7.'!F30+'19. 8.'!F30</f>
        <v>34000</v>
      </c>
      <c r="G29" s="889" t="s">
        <v>256</v>
      </c>
      <c r="H29" s="890"/>
      <c r="I29" s="46">
        <f>+'19.1.'!I29+'19.2.'!I29+'19.3'!I30+'19. 4.'!I30+'19.5.'!I30+'19. 6.'!I30+'19.7.'!I30+'19. 8.'!I30</f>
        <v>80000</v>
      </c>
      <c r="J29" s="46">
        <f>+'19.1.'!J29+'19.2.'!J29+'19.3'!J30+'19. 4.'!J30+'19.5.'!J30+'19. 6.'!J30+'19.7.'!J30+'19. 8.'!J30</f>
        <v>85000</v>
      </c>
      <c r="K29" s="46">
        <f>+'19.1.'!K29+'19.2.'!K29+'19.3'!K30+'19. 4.'!K30+'19.5.'!K30+'19. 6.'!K30+'19.7.'!K30+'19. 8.'!K30</f>
        <v>85000</v>
      </c>
      <c r="L29" s="164"/>
    </row>
    <row r="30" spans="1:12" ht="24" customHeight="1" x14ac:dyDescent="0.2">
      <c r="A30" s="894" t="s">
        <v>255</v>
      </c>
      <c r="B30" s="904"/>
      <c r="C30" s="895"/>
      <c r="D30" s="46">
        <f>+'19.1.'!D30+'19.2.'!D30+'19.3'!D31+'19. 4.'!D31+'19.5.'!D31+'19. 6.'!D31+'19.7.'!D31+'19. 8.'!D31</f>
        <v>235378</v>
      </c>
      <c r="E30" s="46">
        <f>+'19.1.'!E30+'19.2.'!E30+'19.3'!E31+'19. 4.'!E31+'19.5.'!E31+'19. 6.'!E31+'19.7.'!E31+'19. 8.'!E31</f>
        <v>289085</v>
      </c>
      <c r="F30" s="46">
        <f>+'19.1.'!F30+'19.2.'!F30+'19.3'!F31+'19. 4.'!F31+'19.5.'!F31+'19. 6.'!F31+'19.7.'!F31+'19. 8.'!F31</f>
        <v>328302</v>
      </c>
      <c r="G30" s="894" t="s">
        <v>254</v>
      </c>
      <c r="H30" s="895"/>
      <c r="I30" s="47">
        <f>SUM(I27:I29)</f>
        <v>2269477</v>
      </c>
      <c r="J30" s="47">
        <f t="shared" ref="J30:K30" si="6">SUM(J27:J29)</f>
        <v>2280599.25</v>
      </c>
      <c r="K30" s="47">
        <f t="shared" si="6"/>
        <v>2286728.28125</v>
      </c>
      <c r="L30" s="164"/>
    </row>
    <row r="31" spans="1:12" ht="12" customHeight="1" x14ac:dyDescent="0.2">
      <c r="A31" s="888"/>
      <c r="B31" s="888"/>
      <c r="C31" s="888"/>
      <c r="D31" s="46"/>
      <c r="E31" s="46"/>
      <c r="F31" s="46"/>
      <c r="G31" s="889"/>
      <c r="H31" s="890"/>
      <c r="I31" s="46"/>
      <c r="J31" s="46"/>
      <c r="K31" s="46"/>
      <c r="L31" s="164"/>
    </row>
    <row r="32" spans="1:12" ht="12" customHeight="1" x14ac:dyDescent="0.2">
      <c r="A32" s="889" t="s">
        <v>253</v>
      </c>
      <c r="B32" s="899"/>
      <c r="C32" s="890"/>
      <c r="D32" s="46">
        <f>+'19.1.'!D32+'19.2.'!D32+'19.3'!D33+'19. 4.'!D33+'19.5.'!D33+'19. 6.'!D33+'19.7.'!D33+'19. 8.'!D33</f>
        <v>0</v>
      </c>
      <c r="E32" s="46">
        <f>+'19.1.'!E32+'19.2.'!E32+'19.3'!E33+'19. 4.'!E33+'19.5.'!E33+'19. 6.'!E33+'19.7.'!E33+'19. 8.'!E33</f>
        <v>0</v>
      </c>
      <c r="F32" s="46">
        <f>+'19.1.'!F32+'19.2.'!F32+'19.3'!F33+'19. 4.'!F33+'19.5.'!F33+'19. 6.'!F33+'19.7.'!F33+'19. 8.'!F33</f>
        <v>0</v>
      </c>
      <c r="G32" s="889" t="s">
        <v>252</v>
      </c>
      <c r="H32" s="890"/>
      <c r="I32" s="46">
        <f>+'19.1.'!I32+'19.2.'!I32+'19.3'!I33+'19. 4.'!I33+'19.5.'!I33+'19. 6.'!I33+'19.7.'!I33+'19. 8.'!I33</f>
        <v>120000</v>
      </c>
      <c r="J32" s="46">
        <f>+'19.1.'!J32+'19.2.'!J32+'19.3'!J33+'19. 4.'!J33+'19.5.'!J33+'19. 6.'!J33+'19.7.'!J33+'19. 8.'!J33</f>
        <v>120000</v>
      </c>
      <c r="K32" s="46">
        <f>+'19.1.'!K32+'19.2.'!K32+'19.3'!K33+'19. 4.'!K33+'19.5.'!K33+'19. 6.'!K33+'19.7.'!K33+'19. 8.'!K33</f>
        <v>120000</v>
      </c>
    </row>
    <row r="33" spans="1:12" ht="12" customHeight="1" x14ac:dyDescent="0.2">
      <c r="A33" s="887" t="s">
        <v>251</v>
      </c>
      <c r="B33" s="887"/>
      <c r="C33" s="887"/>
      <c r="D33" s="46">
        <f>+'19.1.'!D33+'19.2.'!D33+'19.3'!D34+'19. 4.'!D34+'19.5.'!D34+'19. 6.'!D34+'19.7.'!D34+'19. 8.'!D34</f>
        <v>0</v>
      </c>
      <c r="E33" s="46">
        <f>+'19.1.'!E33+'19.2.'!E33+'19.3'!E34+'19. 4.'!E34+'19.5.'!E34+'19. 6.'!E34+'19.7.'!E34+'19. 8.'!E34</f>
        <v>0</v>
      </c>
      <c r="F33" s="46">
        <f>+'19.1.'!F33+'19.2.'!F33+'19.3'!F34+'19. 4.'!F34+'19.5.'!F34+'19. 6.'!F34+'19.7.'!F34+'19. 8.'!F34</f>
        <v>0</v>
      </c>
      <c r="G33" s="887" t="s">
        <v>250</v>
      </c>
      <c r="H33" s="887"/>
      <c r="I33" s="46">
        <f>+'19.1.'!I33+'19.2.'!I33+'19.3'!I34+'19. 4.'!I34+'19.5.'!I34+'19. 6.'!I34+'19.7.'!I34+'19. 8.'!I34</f>
        <v>0</v>
      </c>
      <c r="J33" s="46">
        <f>+'19.1.'!J33+'19.2.'!J33+'19.3'!J34+'19. 4.'!J34+'19.5.'!J34+'19. 6.'!J34+'19.7.'!J34+'19. 8.'!J34</f>
        <v>0</v>
      </c>
      <c r="K33" s="46">
        <f>+'19.1.'!K33+'19.2.'!K33+'19.3'!K34+'19. 4.'!K34+'19.5.'!K34+'19. 6.'!K34+'19.7.'!K34+'19. 8.'!K34</f>
        <v>0</v>
      </c>
    </row>
    <row r="34" spans="1:12" ht="12" customHeight="1" x14ac:dyDescent="0.2">
      <c r="A34" s="887" t="s">
        <v>249</v>
      </c>
      <c r="B34" s="887"/>
      <c r="C34" s="887"/>
      <c r="D34" s="46">
        <f>+'19.1.'!D34+'19.2.'!D34+'19.3'!D35+'19. 4.'!D35+'19.5.'!D35+'19. 6.'!D35+'19.7.'!D35+'19. 8.'!D35</f>
        <v>0</v>
      </c>
      <c r="E34" s="46">
        <f>+'19.1.'!E34+'19.2.'!E34+'19.3'!E35+'19. 4.'!E35+'19.5.'!E35+'19. 6.'!E35+'19.7.'!E35+'19. 8.'!E35</f>
        <v>0</v>
      </c>
      <c r="F34" s="46">
        <f>+'19.1.'!F34+'19.2.'!F34+'19.3'!F35+'19. 4.'!F35+'19.5.'!F35+'19. 6.'!F35+'19.7.'!F35+'19. 8.'!F35</f>
        <v>0</v>
      </c>
      <c r="G34" s="889" t="s">
        <v>248</v>
      </c>
      <c r="H34" s="890"/>
      <c r="I34" s="46">
        <f>+'19.1.'!I34+'19.2.'!I34+'19.3'!I35+'19. 4.'!I35+'19.5.'!I35+'19. 6.'!I35+'19.7.'!I35+'19. 8.'!I35</f>
        <v>0</v>
      </c>
      <c r="J34" s="46">
        <f>+'19.1.'!J34+'19.2.'!J34+'19.3'!J35+'19. 4.'!J35+'19.5.'!J35+'19. 6.'!J35+'19.7.'!J35+'19. 8.'!J35</f>
        <v>0</v>
      </c>
      <c r="K34" s="46">
        <f>+'19.1.'!K34+'19.2.'!K34+'19.3'!K35+'19. 4.'!K35+'19.5.'!K35+'19. 6.'!K35+'19.7.'!K35+'19. 8.'!K35</f>
        <v>0</v>
      </c>
    </row>
    <row r="35" spans="1:12" ht="12" customHeight="1" x14ac:dyDescent="0.2">
      <c r="A35" s="888" t="s">
        <v>247</v>
      </c>
      <c r="B35" s="888"/>
      <c r="C35" s="888"/>
      <c r="D35" s="46">
        <f>+'19.1.'!D35+'19.2.'!D35+'19.3'!D36+'19. 4.'!D36+'19.5.'!D36+'19. 6.'!D36+'19.7.'!D36+'19. 8.'!D36</f>
        <v>0</v>
      </c>
      <c r="E35" s="46">
        <f>+'19.1.'!E35+'19.2.'!E35+'19.3'!E36+'19. 4.'!E36+'19.5.'!E36+'19. 6.'!E36+'19.7.'!E36+'19. 8.'!E36</f>
        <v>0</v>
      </c>
      <c r="F35" s="46">
        <f>+'19.1.'!F35+'19.2.'!F35+'19.3'!F36+'19. 4.'!F36+'19.5.'!F36+'19. 6.'!F36+'19.7.'!F36+'19. 8.'!F36</f>
        <v>0</v>
      </c>
      <c r="G35" s="889" t="s">
        <v>246</v>
      </c>
      <c r="H35" s="890"/>
      <c r="I35" s="46">
        <f>+'19.1.'!I35+'19.2.'!I35+'19.3'!I36+'19. 4.'!I36+'19.5.'!I36+'19. 6.'!I36+'19.7.'!I36+'19. 8.'!I36</f>
        <v>0</v>
      </c>
      <c r="J35" s="46">
        <f>+'19.1.'!J35+'19.2.'!J35+'19.3'!J36+'19. 4.'!J36+'19.5.'!J36+'19. 6.'!J36+'19.7.'!J36+'19. 8.'!J36</f>
        <v>0</v>
      </c>
      <c r="K35" s="46">
        <f>+'19.1.'!K35+'19.2.'!K35+'19.3'!K36+'19. 4.'!K36+'19.5.'!K36+'19. 6.'!K36+'19.7.'!K36+'19. 8.'!K36</f>
        <v>0</v>
      </c>
    </row>
    <row r="36" spans="1:12" ht="12" customHeight="1" x14ac:dyDescent="0.2">
      <c r="A36" s="888" t="s">
        <v>245</v>
      </c>
      <c r="B36" s="888"/>
      <c r="C36" s="888"/>
      <c r="D36" s="46">
        <f>+'19.1.'!D36+'19.2.'!D36+'19.3'!D37+'19. 4.'!D37+'19.5.'!D37+'19. 6.'!D37+'19.7.'!D37+'19. 8.'!D37</f>
        <v>0</v>
      </c>
      <c r="E36" s="46">
        <f>+'19.1.'!E36+'19.2.'!E36+'19.3'!E37+'19. 4.'!E37+'19.5.'!E37+'19. 6.'!E37+'19.7.'!E37+'19. 8.'!E37</f>
        <v>0</v>
      </c>
      <c r="F36" s="46">
        <f>+'19.1.'!F36+'19.2.'!F36+'19.3'!F37+'19. 4.'!F37+'19.5.'!F37+'19. 6.'!F37+'19.7.'!F37+'19. 8.'!F37</f>
        <v>0</v>
      </c>
      <c r="G36" s="887" t="s">
        <v>244</v>
      </c>
      <c r="H36" s="887"/>
      <c r="I36" s="46">
        <f>+'19.1.'!I36+'19.2.'!I36+'19.3'!I37+'19. 4.'!I37+'19.5.'!I37+'19. 6.'!I37+'19.7.'!I37+'19. 8.'!I37</f>
        <v>0</v>
      </c>
      <c r="J36" s="46">
        <f>+'19.1.'!J36+'19.2.'!J36+'19.3'!J37+'19. 4.'!J37+'19.5.'!J37+'19. 6.'!J37+'19.7.'!J37+'19. 8.'!J37</f>
        <v>0</v>
      </c>
      <c r="K36" s="46">
        <f>+'19.1.'!K36+'19.2.'!K36+'19.3'!K37+'19. 4.'!K37+'19.5.'!K37+'19. 6.'!K37+'19.7.'!K37+'19. 8.'!K37</f>
        <v>0</v>
      </c>
    </row>
    <row r="37" spans="1:12" ht="12" customHeight="1" x14ac:dyDescent="0.2">
      <c r="A37" s="887" t="s">
        <v>243</v>
      </c>
      <c r="B37" s="887"/>
      <c r="C37" s="887"/>
      <c r="D37" s="46">
        <f>+'19.1.'!D37+'19.2.'!D37+'19.3'!D38+'19. 4.'!D38+'19.5.'!D38+'19. 6.'!D38+'19.7.'!D38+'19. 8.'!D38</f>
        <v>19477</v>
      </c>
      <c r="E37" s="46">
        <f>+'19.1.'!E37+'19.2.'!E37+'19.3'!E38+'19. 4.'!E38+'19.5.'!E38+'19. 6.'!E38+'19.7.'!E38+'19. 8.'!E38</f>
        <v>20599.25</v>
      </c>
      <c r="F37" s="46">
        <f>+'19.1.'!F37+'19.2.'!F37+'19.3'!F38+'19. 4.'!F38+'19.5.'!F38+'19. 6.'!F38+'19.7.'!F38+'19. 8.'!F38</f>
        <v>21728.28125</v>
      </c>
      <c r="G37" s="887" t="s">
        <v>242</v>
      </c>
      <c r="H37" s="887"/>
      <c r="I37" s="46">
        <f>+'19.1.'!I37+'19.2.'!I37+'19.3'!I38+'19. 4.'!I38+'19.5.'!I38+'19. 6.'!I38+'19.7.'!I38+'19. 8.'!I38</f>
        <v>0</v>
      </c>
      <c r="J37" s="46">
        <f>+'19.1.'!J37+'19.2.'!J37+'19.3'!J38+'19. 4.'!J38+'19.5.'!J38+'19. 6.'!J38+'19.7.'!J38+'19. 8.'!J38</f>
        <v>0</v>
      </c>
      <c r="K37" s="46">
        <f>+'19.1.'!K37+'19.2.'!K37+'19.3'!K38+'19. 4.'!K38+'19.5.'!K38+'19. 6.'!K38+'19.7.'!K38+'19. 8.'!K38</f>
        <v>0</v>
      </c>
    </row>
    <row r="38" spans="1:12" ht="12" customHeight="1" x14ac:dyDescent="0.2">
      <c r="A38" s="891"/>
      <c r="B38" s="891"/>
      <c r="C38" s="891"/>
      <c r="D38" s="29"/>
      <c r="E38" s="29"/>
      <c r="F38" s="29"/>
      <c r="G38" s="887" t="s">
        <v>241</v>
      </c>
      <c r="H38" s="887"/>
      <c r="I38" s="46">
        <f>+'19.1.'!I38+'19.2.'!I38+'19.3'!I39+'19. 4.'!I39+'19.5.'!I39+'19. 6.'!I39+'19.7.'!I39+'19. 8.'!I39</f>
        <v>0</v>
      </c>
      <c r="J38" s="46">
        <f>+'19.1.'!J38+'19.2.'!J38+'19.3'!J39+'19. 4.'!J39+'19.5.'!J39+'19. 6.'!J39+'19.7.'!J39+'19. 8.'!J39</f>
        <v>0</v>
      </c>
      <c r="K38" s="46">
        <f>+'19.1.'!K38+'19.2.'!K38+'19.3'!K39+'19. 4.'!K39+'19.5.'!K39+'19. 6.'!K39+'19.7.'!K39+'19. 8.'!K39</f>
        <v>0</v>
      </c>
    </row>
    <row r="39" spans="1:12" ht="12" customHeight="1" x14ac:dyDescent="0.2">
      <c r="A39" s="595"/>
      <c r="B39" s="541"/>
      <c r="C39" s="542"/>
      <c r="D39" s="601"/>
      <c r="E39" s="601"/>
      <c r="F39" s="601"/>
      <c r="G39" s="536"/>
      <c r="H39" s="537" t="s">
        <v>488</v>
      </c>
      <c r="I39" s="46">
        <f>+'19.1.'!I39+'19.2.'!I39+'19.3'!I40+'19. 4.'!I40+'19.5.'!I40+'19. 6.'!I40+'19.7.'!I40+'19. 8.'!I40</f>
        <v>221000</v>
      </c>
      <c r="J39" s="46">
        <f>+'19.1.'!J39+'19.2.'!J39+'19.3'!J40+'19. 4.'!J40+'19.5.'!J40+'19. 6.'!J40+'19.7.'!J40+'19. 8.'!J40</f>
        <v>221000</v>
      </c>
      <c r="K39" s="46">
        <f>+'19.1.'!K39+'19.2.'!K39+'19.3'!K40+'19. 4.'!K40+'19.5.'!K40+'19. 6.'!K40+'19.7.'!K40+'19. 8.'!K40</f>
        <v>221000</v>
      </c>
    </row>
    <row r="40" spans="1:12" ht="12" customHeight="1" x14ac:dyDescent="0.2">
      <c r="A40" s="894" t="s">
        <v>240</v>
      </c>
      <c r="B40" s="904"/>
      <c r="C40" s="895"/>
      <c r="D40" s="48">
        <f>SUM(D32:D38)</f>
        <v>19477</v>
      </c>
      <c r="E40" s="48">
        <f t="shared" ref="E40:F40" si="7">SUM(E32:E38)</f>
        <v>20599.25</v>
      </c>
      <c r="F40" s="48">
        <f t="shared" si="7"/>
        <v>21728.28125</v>
      </c>
      <c r="G40" s="894" t="s">
        <v>239</v>
      </c>
      <c r="H40" s="895"/>
      <c r="I40" s="51">
        <f>SUM(I32:I39)</f>
        <v>341000</v>
      </c>
      <c r="J40" s="51">
        <f t="shared" ref="J40:K40" si="8">SUM(J32:J39)</f>
        <v>341000</v>
      </c>
      <c r="K40" s="51">
        <f t="shared" si="8"/>
        <v>341000</v>
      </c>
      <c r="L40" s="164"/>
    </row>
    <row r="41" spans="1:12" ht="12" customHeight="1" x14ac:dyDescent="0.2">
      <c r="A41" s="888"/>
      <c r="B41" s="888"/>
      <c r="C41" s="888"/>
      <c r="D41" s="27"/>
      <c r="E41" s="27"/>
      <c r="F41" s="25"/>
      <c r="G41" s="889"/>
      <c r="H41" s="890"/>
      <c r="I41" s="25"/>
      <c r="J41" s="25"/>
      <c r="K41" s="25"/>
      <c r="L41" s="164"/>
    </row>
    <row r="42" spans="1:12" ht="12.75" customHeight="1" x14ac:dyDescent="0.2">
      <c r="A42" s="902" t="s">
        <v>238</v>
      </c>
      <c r="B42" s="902"/>
      <c r="C42" s="902"/>
      <c r="D42" s="49">
        <f>+D40+D30</f>
        <v>254855</v>
      </c>
      <c r="E42" s="49">
        <f t="shared" ref="E42:F42" si="9">+E40+E30</f>
        <v>309684.25</v>
      </c>
      <c r="F42" s="49">
        <f t="shared" si="9"/>
        <v>350030.28125</v>
      </c>
      <c r="G42" s="894" t="s">
        <v>237</v>
      </c>
      <c r="H42" s="895"/>
      <c r="I42" s="51">
        <f>+I40+I30</f>
        <v>2610477</v>
      </c>
      <c r="J42" s="51">
        <f t="shared" ref="J42:K42" si="10">+J40+J30</f>
        <v>2621599.25</v>
      </c>
      <c r="K42" s="51">
        <f t="shared" si="10"/>
        <v>2627728.28125</v>
      </c>
      <c r="L42" s="164"/>
    </row>
    <row r="43" spans="1:12" ht="12" customHeight="1" x14ac:dyDescent="0.2">
      <c r="A43" s="888"/>
      <c r="B43" s="888"/>
      <c r="C43" s="888"/>
      <c r="D43" s="26"/>
      <c r="E43" s="26"/>
      <c r="F43" s="25"/>
      <c r="G43" s="897"/>
      <c r="H43" s="898"/>
      <c r="I43" s="25"/>
      <c r="J43" s="25"/>
      <c r="K43" s="25"/>
      <c r="L43" s="164"/>
    </row>
    <row r="44" spans="1:12" ht="12.75" customHeight="1" x14ac:dyDescent="0.2">
      <c r="A44" s="896" t="s">
        <v>236</v>
      </c>
      <c r="B44" s="896"/>
      <c r="C44" s="896"/>
      <c r="D44" s="50">
        <f>+D42+D25</f>
        <v>6374690.6050000004</v>
      </c>
      <c r="E44" s="50">
        <f t="shared" ref="E44:F44" si="11">+E42+E25</f>
        <v>6479898.4169149995</v>
      </c>
      <c r="F44" s="50">
        <f t="shared" si="11"/>
        <v>6582983.6056379946</v>
      </c>
      <c r="G44" s="896" t="s">
        <v>235</v>
      </c>
      <c r="H44" s="896"/>
      <c r="I44" s="51">
        <f>+I42+I25</f>
        <v>6374691.0099999998</v>
      </c>
      <c r="J44" s="51">
        <f t="shared" ref="J44:K44" si="12">+J42+J25</f>
        <v>6479898.8788299998</v>
      </c>
      <c r="K44" s="51">
        <f t="shared" si="12"/>
        <v>6582983.9824009892</v>
      </c>
      <c r="L44" s="164"/>
    </row>
    <row r="47" spans="1:12" x14ac:dyDescent="0.2">
      <c r="D47" s="117"/>
      <c r="E47" s="117"/>
      <c r="F47" s="117"/>
    </row>
    <row r="49" spans="4:6" x14ac:dyDescent="0.2">
      <c r="D49" s="117"/>
      <c r="E49" s="117"/>
      <c r="F49" s="117"/>
    </row>
  </sheetData>
  <mergeCells count="83">
    <mergeCell ref="A2:K2"/>
    <mergeCell ref="G4:K4"/>
    <mergeCell ref="D5:F5"/>
    <mergeCell ref="A5:C6"/>
    <mergeCell ref="A4:F4"/>
    <mergeCell ref="A3:C3"/>
    <mergeCell ref="G3:H3"/>
    <mergeCell ref="I5:K5"/>
    <mergeCell ref="G5:H6"/>
    <mergeCell ref="A27:C27"/>
    <mergeCell ref="A25:C25"/>
    <mergeCell ref="A8:C8"/>
    <mergeCell ref="A7:C7"/>
    <mergeCell ref="A26:C26"/>
    <mergeCell ref="A16:C16"/>
    <mergeCell ref="A11:C11"/>
    <mergeCell ref="A23:C23"/>
    <mergeCell ref="A20:C20"/>
    <mergeCell ref="A19:C19"/>
    <mergeCell ref="A21:C21"/>
    <mergeCell ref="A17:C17"/>
    <mergeCell ref="A18:C18"/>
    <mergeCell ref="A28:C28"/>
    <mergeCell ref="G42:H42"/>
    <mergeCell ref="A30:C30"/>
    <mergeCell ref="A42:C42"/>
    <mergeCell ref="A40:C40"/>
    <mergeCell ref="A41:C41"/>
    <mergeCell ref="A33:C33"/>
    <mergeCell ref="G30:H30"/>
    <mergeCell ref="G31:H31"/>
    <mergeCell ref="G41:H41"/>
    <mergeCell ref="A34:C34"/>
    <mergeCell ref="A35:C35"/>
    <mergeCell ref="A32:C32"/>
    <mergeCell ref="A44:C44"/>
    <mergeCell ref="G44:H44"/>
    <mergeCell ref="A43:C43"/>
    <mergeCell ref="G43:H43"/>
    <mergeCell ref="A9:C9"/>
    <mergeCell ref="G14:H14"/>
    <mergeCell ref="G12:H12"/>
    <mergeCell ref="A12:C12"/>
    <mergeCell ref="G11:H11"/>
    <mergeCell ref="A10:C10"/>
    <mergeCell ref="G9:H9"/>
    <mergeCell ref="A13:C13"/>
    <mergeCell ref="A24:C24"/>
    <mergeCell ref="G15:H15"/>
    <mergeCell ref="A14:C14"/>
    <mergeCell ref="A15:C15"/>
    <mergeCell ref="G24:H24"/>
    <mergeCell ref="A22:C22"/>
    <mergeCell ref="G13:H13"/>
    <mergeCell ref="G7:H7"/>
    <mergeCell ref="G40:H40"/>
    <mergeCell ref="G16:H16"/>
    <mergeCell ref="G17:H17"/>
    <mergeCell ref="G22:H22"/>
    <mergeCell ref="G8:H8"/>
    <mergeCell ref="G23:H23"/>
    <mergeCell ref="G25:H25"/>
    <mergeCell ref="G26:H26"/>
    <mergeCell ref="G10:H10"/>
    <mergeCell ref="G27:H27"/>
    <mergeCell ref="G28:H28"/>
    <mergeCell ref="G18:H18"/>
    <mergeCell ref="G19:H19"/>
    <mergeCell ref="G20:H20"/>
    <mergeCell ref="G21:H21"/>
    <mergeCell ref="G38:H38"/>
    <mergeCell ref="A36:C36"/>
    <mergeCell ref="A37:C37"/>
    <mergeCell ref="G29:H29"/>
    <mergeCell ref="A29:C29"/>
    <mergeCell ref="A31:C31"/>
    <mergeCell ref="A38:C38"/>
    <mergeCell ref="G32:H32"/>
    <mergeCell ref="G33:H33"/>
    <mergeCell ref="G34:H34"/>
    <mergeCell ref="G35:H35"/>
    <mergeCell ref="G36:H36"/>
    <mergeCell ref="G37:H37"/>
  </mergeCells>
  <printOptions horizontalCentered="1"/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>
    <oddHeader>&amp;LVeresegyház Város Önkormányzat 
MINDÖSSZESEN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L27" sqref="L27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16384" width="9.140625" style="105"/>
  </cols>
  <sheetData>
    <row r="1" spans="1:12" ht="12" customHeight="1" x14ac:dyDescent="0.2">
      <c r="H1" s="588"/>
      <c r="J1" s="492"/>
      <c r="K1" s="543" t="s">
        <v>1838</v>
      </c>
      <c r="L1" s="492"/>
    </row>
    <row r="2" spans="1:12" ht="12" customHeight="1" x14ac:dyDescent="0.2">
      <c r="A2" s="862" t="s">
        <v>282</v>
      </c>
      <c r="B2" s="862"/>
      <c r="C2" s="862"/>
      <c r="D2" s="862"/>
      <c r="E2" s="862"/>
      <c r="F2" s="862"/>
      <c r="G2" s="862"/>
      <c r="H2" s="862"/>
      <c r="I2" s="862"/>
      <c r="J2" s="862"/>
      <c r="K2" s="862"/>
      <c r="L2" s="528"/>
    </row>
    <row r="3" spans="1:12" ht="12" customHeight="1" x14ac:dyDescent="0.2">
      <c r="A3" s="905"/>
      <c r="B3" s="905"/>
      <c r="C3" s="905"/>
      <c r="D3" s="589"/>
      <c r="E3" s="589"/>
      <c r="F3" s="108"/>
      <c r="G3" s="906"/>
      <c r="H3" s="906"/>
      <c r="J3" s="497"/>
      <c r="K3" s="497" t="s">
        <v>281</v>
      </c>
      <c r="L3" s="497"/>
    </row>
    <row r="4" spans="1:12" ht="12" customHeight="1" x14ac:dyDescent="0.2">
      <c r="A4" s="864" t="s">
        <v>3</v>
      </c>
      <c r="B4" s="864"/>
      <c r="C4" s="864"/>
      <c r="D4" s="864"/>
      <c r="E4" s="864"/>
      <c r="F4" s="864"/>
      <c r="G4" s="864" t="s">
        <v>4</v>
      </c>
      <c r="H4" s="864"/>
      <c r="I4" s="864"/>
      <c r="J4" s="864"/>
      <c r="K4" s="864"/>
      <c r="L4" s="35"/>
    </row>
    <row r="5" spans="1:12" x14ac:dyDescent="0.2">
      <c r="A5" s="843" t="s">
        <v>50</v>
      </c>
      <c r="B5" s="844"/>
      <c r="C5" s="845"/>
      <c r="D5" s="692" t="s">
        <v>280</v>
      </c>
      <c r="E5" s="693"/>
      <c r="F5" s="694"/>
      <c r="G5" s="843" t="s">
        <v>50</v>
      </c>
      <c r="H5" s="845"/>
      <c r="I5" s="864" t="s">
        <v>280</v>
      </c>
      <c r="J5" s="864"/>
      <c r="K5" s="864"/>
      <c r="L5" s="35"/>
    </row>
    <row r="6" spans="1:12" x14ac:dyDescent="0.2">
      <c r="A6" s="846"/>
      <c r="B6" s="847"/>
      <c r="C6" s="848"/>
      <c r="D6" s="529">
        <v>2015</v>
      </c>
      <c r="E6" s="529">
        <v>2016</v>
      </c>
      <c r="F6" s="529">
        <v>2017</v>
      </c>
      <c r="G6" s="846"/>
      <c r="H6" s="848"/>
      <c r="I6" s="529">
        <v>2015</v>
      </c>
      <c r="J6" s="529">
        <v>2016</v>
      </c>
      <c r="K6" s="529">
        <v>2017</v>
      </c>
      <c r="L6" s="35"/>
    </row>
    <row r="7" spans="1:12" ht="12" customHeight="1" x14ac:dyDescent="0.2">
      <c r="A7" s="889" t="s">
        <v>279</v>
      </c>
      <c r="B7" s="899"/>
      <c r="C7" s="890"/>
      <c r="D7" s="46">
        <v>812000</v>
      </c>
      <c r="E7" s="46">
        <v>820000</v>
      </c>
      <c r="F7" s="46">
        <v>840000</v>
      </c>
      <c r="G7" s="889" t="s">
        <v>278</v>
      </c>
      <c r="H7" s="890"/>
      <c r="I7" s="25">
        <v>38000</v>
      </c>
      <c r="J7" s="25">
        <v>38000</v>
      </c>
      <c r="K7" s="25">
        <v>38000</v>
      </c>
      <c r="L7" s="164"/>
    </row>
    <row r="8" spans="1:12" ht="12" customHeight="1" x14ac:dyDescent="0.2">
      <c r="A8" s="889" t="s">
        <v>277</v>
      </c>
      <c r="B8" s="899"/>
      <c r="C8" s="890"/>
      <c r="D8" s="46">
        <v>3860000</v>
      </c>
      <c r="E8" s="46">
        <v>3880000</v>
      </c>
      <c r="F8" s="46">
        <v>3900000</v>
      </c>
      <c r="G8" s="888" t="s">
        <v>276</v>
      </c>
      <c r="H8" s="888"/>
      <c r="I8" s="25">
        <v>10700</v>
      </c>
      <c r="J8" s="25">
        <v>10700</v>
      </c>
      <c r="K8" s="25">
        <v>10700</v>
      </c>
      <c r="L8" s="164"/>
    </row>
    <row r="9" spans="1:12" ht="12" customHeight="1" x14ac:dyDescent="0.2">
      <c r="A9" s="889" t="s">
        <v>275</v>
      </c>
      <c r="B9" s="899"/>
      <c r="C9" s="890"/>
      <c r="D9" s="46">
        <v>500000</v>
      </c>
      <c r="E9" s="46">
        <v>500000</v>
      </c>
      <c r="F9" s="46">
        <v>500000</v>
      </c>
      <c r="G9" s="888" t="s">
        <v>274</v>
      </c>
      <c r="H9" s="888"/>
      <c r="I9" s="25">
        <v>550000</v>
      </c>
      <c r="J9" s="25">
        <v>570000</v>
      </c>
      <c r="K9" s="25">
        <v>590000</v>
      </c>
      <c r="L9" s="164"/>
    </row>
    <row r="10" spans="1:12" ht="12" customHeight="1" x14ac:dyDescent="0.2">
      <c r="A10" s="889" t="s">
        <v>273</v>
      </c>
      <c r="B10" s="899"/>
      <c r="C10" s="890"/>
      <c r="D10" s="46">
        <v>50000</v>
      </c>
      <c r="E10" s="46">
        <v>52000</v>
      </c>
      <c r="F10" s="46">
        <v>54000</v>
      </c>
      <c r="G10" s="888" t="s">
        <v>272</v>
      </c>
      <c r="H10" s="888"/>
      <c r="I10" s="25">
        <v>64000</v>
      </c>
      <c r="J10" s="25">
        <v>66000</v>
      </c>
      <c r="K10" s="25">
        <v>68000</v>
      </c>
      <c r="L10" s="164"/>
    </row>
    <row r="11" spans="1:12" ht="12" customHeight="1" x14ac:dyDescent="0.2">
      <c r="A11" s="888"/>
      <c r="B11" s="888"/>
      <c r="C11" s="888"/>
      <c r="D11" s="46"/>
      <c r="E11" s="46"/>
      <c r="F11" s="46"/>
      <c r="G11" s="888" t="s">
        <v>271</v>
      </c>
      <c r="H11" s="888"/>
      <c r="I11" s="25">
        <v>410000</v>
      </c>
      <c r="J11" s="25">
        <v>415000</v>
      </c>
      <c r="K11" s="25">
        <v>420000</v>
      </c>
      <c r="L11" s="164"/>
    </row>
    <row r="12" spans="1:12" ht="12" customHeight="1" x14ac:dyDescent="0.2">
      <c r="A12" s="902"/>
      <c r="B12" s="902"/>
      <c r="C12" s="902"/>
      <c r="D12" s="34"/>
      <c r="E12" s="34"/>
      <c r="F12" s="25"/>
      <c r="G12" s="900" t="s">
        <v>270</v>
      </c>
      <c r="H12" s="901"/>
      <c r="I12" s="25">
        <v>180000</v>
      </c>
      <c r="J12" s="25">
        <v>180000</v>
      </c>
      <c r="K12" s="25">
        <v>180000</v>
      </c>
      <c r="L12" s="164"/>
    </row>
    <row r="13" spans="1:12" ht="12" customHeight="1" x14ac:dyDescent="0.2">
      <c r="A13" s="903"/>
      <c r="B13" s="903"/>
      <c r="C13" s="903"/>
      <c r="D13" s="32"/>
      <c r="E13" s="32"/>
      <c r="F13" s="25"/>
      <c r="G13" s="889" t="s">
        <v>269</v>
      </c>
      <c r="H13" s="890"/>
      <c r="I13" s="25"/>
      <c r="J13" s="25"/>
      <c r="K13" s="25"/>
      <c r="L13" s="164"/>
    </row>
    <row r="14" spans="1:12" ht="23.25" customHeight="1" x14ac:dyDescent="0.2">
      <c r="A14" s="894" t="s">
        <v>268</v>
      </c>
      <c r="B14" s="904"/>
      <c r="C14" s="895"/>
      <c r="D14" s="44">
        <f>SUM(D7:D10)</f>
        <v>5222000</v>
      </c>
      <c r="E14" s="44">
        <f t="shared" ref="E14:F14" si="0">SUM(E7:E10)</f>
        <v>5252000</v>
      </c>
      <c r="F14" s="44">
        <f t="shared" si="0"/>
        <v>5294000</v>
      </c>
      <c r="G14" s="894" t="s">
        <v>267</v>
      </c>
      <c r="H14" s="895"/>
      <c r="I14" s="51">
        <f>SUM(I7:I11)</f>
        <v>1072700</v>
      </c>
      <c r="J14" s="51">
        <f t="shared" ref="J14:K14" si="1">SUM(J7:J11)</f>
        <v>1099700</v>
      </c>
      <c r="K14" s="51">
        <f t="shared" si="1"/>
        <v>1126700</v>
      </c>
      <c r="L14" s="164"/>
    </row>
    <row r="15" spans="1:12" ht="12" customHeight="1" x14ac:dyDescent="0.2">
      <c r="A15" s="889"/>
      <c r="B15" s="899"/>
      <c r="C15" s="890"/>
      <c r="D15" s="33"/>
      <c r="E15" s="33"/>
      <c r="F15" s="25"/>
      <c r="G15" s="889"/>
      <c r="H15" s="890"/>
      <c r="I15" s="25"/>
      <c r="J15" s="25"/>
      <c r="K15" s="25"/>
      <c r="L15" s="164"/>
    </row>
    <row r="16" spans="1:12" ht="12" customHeight="1" x14ac:dyDescent="0.2">
      <c r="A16" s="889" t="s">
        <v>253</v>
      </c>
      <c r="B16" s="899"/>
      <c r="C16" s="890"/>
      <c r="D16" s="29"/>
      <c r="E16" s="29"/>
      <c r="F16" s="29"/>
      <c r="G16" s="889" t="s">
        <v>266</v>
      </c>
      <c r="H16" s="890"/>
      <c r="I16" s="159"/>
      <c r="J16" s="159"/>
      <c r="K16" s="159"/>
    </row>
    <row r="17" spans="1:12" ht="12" customHeight="1" x14ac:dyDescent="0.2">
      <c r="A17" s="887" t="s">
        <v>251</v>
      </c>
      <c r="B17" s="887"/>
      <c r="C17" s="887"/>
      <c r="D17" s="29"/>
      <c r="E17" s="29"/>
      <c r="F17" s="29"/>
      <c r="G17" s="887" t="s">
        <v>250</v>
      </c>
      <c r="H17" s="887"/>
      <c r="I17" s="159"/>
      <c r="J17" s="159"/>
      <c r="K17" s="159"/>
    </row>
    <row r="18" spans="1:12" ht="12" customHeight="1" x14ac:dyDescent="0.2">
      <c r="A18" s="887" t="s">
        <v>249</v>
      </c>
      <c r="B18" s="887"/>
      <c r="C18" s="887"/>
      <c r="D18" s="29"/>
      <c r="E18" s="29"/>
      <c r="F18" s="29"/>
      <c r="G18" s="887" t="s">
        <v>265</v>
      </c>
      <c r="H18" s="887"/>
      <c r="I18" s="159"/>
      <c r="J18" s="159"/>
      <c r="K18" s="159"/>
    </row>
    <row r="19" spans="1:12" ht="12" customHeight="1" x14ac:dyDescent="0.2">
      <c r="A19" s="888" t="s">
        <v>247</v>
      </c>
      <c r="B19" s="888"/>
      <c r="C19" s="888"/>
      <c r="D19" s="29"/>
      <c r="E19" s="29"/>
      <c r="F19" s="29"/>
      <c r="G19" s="887" t="s">
        <v>246</v>
      </c>
      <c r="H19" s="887"/>
      <c r="I19" s="159"/>
      <c r="J19" s="159"/>
      <c r="K19" s="159"/>
    </row>
    <row r="20" spans="1:12" ht="12" customHeight="1" x14ac:dyDescent="0.2">
      <c r="A20" s="888" t="s">
        <v>245</v>
      </c>
      <c r="B20" s="888"/>
      <c r="C20" s="888"/>
      <c r="D20" s="29"/>
      <c r="E20" s="29"/>
      <c r="F20" s="29"/>
      <c r="G20" s="887" t="s">
        <v>244</v>
      </c>
      <c r="H20" s="887"/>
      <c r="I20" s="25">
        <f>+'19.2.'!D21+'19.3'!D22+'19. 4.'!D22+'19.5.'!D22+'19. 6.'!D22+'19.7.'!D22+'19. 8.'!D22</f>
        <v>1793678.4049999998</v>
      </c>
      <c r="J20" s="25">
        <f>+'19.2.'!E21+'19.3'!E22+'19. 4.'!E22+'19.5.'!E22+'19. 6.'!E22+'19.7.'!E22+'19. 8.'!E22</f>
        <v>1840385.4619149996</v>
      </c>
      <c r="K20" s="25">
        <f>+'19.2.'!F21+'19.3'!F22+'19. 4.'!F22+'19.5.'!F22+'19. 6.'!F22+'19.7.'!F22+'19. 8.'!F22</f>
        <v>1889602.3767629948</v>
      </c>
    </row>
    <row r="21" spans="1:12" ht="12" customHeight="1" x14ac:dyDescent="0.2">
      <c r="A21" s="887" t="s">
        <v>243</v>
      </c>
      <c r="B21" s="887"/>
      <c r="C21" s="887"/>
      <c r="D21" s="29"/>
      <c r="E21" s="29"/>
      <c r="F21" s="29"/>
      <c r="G21" s="887" t="s">
        <v>242</v>
      </c>
      <c r="H21" s="887"/>
      <c r="I21" s="159"/>
      <c r="J21" s="159"/>
      <c r="K21" s="159"/>
    </row>
    <row r="22" spans="1:12" ht="12" customHeight="1" x14ac:dyDescent="0.2">
      <c r="A22" s="891"/>
      <c r="B22" s="891"/>
      <c r="C22" s="891"/>
      <c r="D22" s="29"/>
      <c r="E22" s="29"/>
      <c r="F22" s="29"/>
      <c r="G22" s="887" t="s">
        <v>241</v>
      </c>
      <c r="H22" s="887"/>
      <c r="I22" s="159"/>
      <c r="J22" s="159"/>
      <c r="K22" s="159"/>
    </row>
    <row r="23" spans="1:12" ht="12" customHeight="1" x14ac:dyDescent="0.2">
      <c r="A23" s="902" t="s">
        <v>264</v>
      </c>
      <c r="B23" s="902"/>
      <c r="C23" s="902"/>
      <c r="D23" s="44">
        <f>SUM(D16:D21)</f>
        <v>0</v>
      </c>
      <c r="E23" s="44">
        <f t="shared" ref="E23:F23" si="2">SUM(E16:E21)</f>
        <v>0</v>
      </c>
      <c r="F23" s="44">
        <f t="shared" si="2"/>
        <v>0</v>
      </c>
      <c r="G23" s="894" t="s">
        <v>263</v>
      </c>
      <c r="H23" s="895"/>
      <c r="I23" s="51">
        <f>SUM(I16:I22)</f>
        <v>1793678.4049999998</v>
      </c>
      <c r="J23" s="51">
        <f t="shared" ref="J23:K23" si="3">SUM(J16:J22)</f>
        <v>1840385.4619149996</v>
      </c>
      <c r="K23" s="51">
        <f t="shared" si="3"/>
        <v>1889602.3767629948</v>
      </c>
      <c r="L23" s="164"/>
    </row>
    <row r="24" spans="1:12" ht="12" customHeight="1" x14ac:dyDescent="0.2">
      <c r="A24" s="903"/>
      <c r="B24" s="903"/>
      <c r="C24" s="903"/>
      <c r="D24" s="32"/>
      <c r="E24" s="32"/>
      <c r="F24" s="25"/>
      <c r="G24" s="892"/>
      <c r="H24" s="893"/>
      <c r="I24" s="25"/>
      <c r="J24" s="25"/>
      <c r="K24" s="25"/>
      <c r="L24" s="164"/>
    </row>
    <row r="25" spans="1:12" ht="12" customHeight="1" x14ac:dyDescent="0.2">
      <c r="A25" s="902" t="s">
        <v>262</v>
      </c>
      <c r="B25" s="902"/>
      <c r="C25" s="902"/>
      <c r="D25" s="44">
        <f>+D23+D14</f>
        <v>5222000</v>
      </c>
      <c r="E25" s="44">
        <f t="shared" ref="E25:F25" si="4">+E23+E14</f>
        <v>5252000</v>
      </c>
      <c r="F25" s="44">
        <f t="shared" si="4"/>
        <v>5294000</v>
      </c>
      <c r="G25" s="894" t="s">
        <v>261</v>
      </c>
      <c r="H25" s="895"/>
      <c r="I25" s="51">
        <f>+I23+I14</f>
        <v>2866378.4049999998</v>
      </c>
      <c r="J25" s="51">
        <f t="shared" ref="J25:K25" si="5">+J23+J14</f>
        <v>2940085.4619149994</v>
      </c>
      <c r="K25" s="51">
        <f t="shared" si="5"/>
        <v>3016302.3767629946</v>
      </c>
      <c r="L25" s="164"/>
    </row>
    <row r="26" spans="1:12" ht="12" customHeight="1" x14ac:dyDescent="0.2">
      <c r="A26" s="888"/>
      <c r="B26" s="888"/>
      <c r="C26" s="888"/>
      <c r="D26" s="26"/>
      <c r="E26" s="26"/>
      <c r="F26" s="25"/>
      <c r="G26" s="889"/>
      <c r="H26" s="890"/>
      <c r="I26" s="25"/>
      <c r="J26" s="25"/>
      <c r="K26" s="25"/>
      <c r="L26" s="164"/>
    </row>
    <row r="27" spans="1:12" ht="12.75" customHeight="1" x14ac:dyDescent="0.2">
      <c r="A27" s="889" t="s">
        <v>260</v>
      </c>
      <c r="B27" s="899"/>
      <c r="C27" s="890"/>
      <c r="D27" s="46">
        <v>15000</v>
      </c>
      <c r="E27" s="46">
        <v>18000</v>
      </c>
      <c r="F27" s="46">
        <v>21000</v>
      </c>
      <c r="G27" s="889" t="s">
        <v>259</v>
      </c>
      <c r="H27" s="890"/>
      <c r="I27" s="25">
        <v>2000000</v>
      </c>
      <c r="J27" s="25">
        <v>2000000</v>
      </c>
      <c r="K27" s="25">
        <v>2000000</v>
      </c>
      <c r="L27" s="164"/>
    </row>
    <row r="28" spans="1:12" ht="12" customHeight="1" x14ac:dyDescent="0.2">
      <c r="A28" s="889" t="s">
        <v>258</v>
      </c>
      <c r="B28" s="899"/>
      <c r="C28" s="890"/>
      <c r="D28" s="46">
        <v>186378</v>
      </c>
      <c r="E28" s="46">
        <v>237085</v>
      </c>
      <c r="F28" s="46">
        <v>273302</v>
      </c>
      <c r="G28" s="889" t="s">
        <v>198</v>
      </c>
      <c r="H28" s="890"/>
      <c r="I28" s="25">
        <v>170000</v>
      </c>
      <c r="J28" s="25">
        <v>175000</v>
      </c>
      <c r="K28" s="25">
        <v>180000</v>
      </c>
      <c r="L28" s="164"/>
    </row>
    <row r="29" spans="1:12" ht="12" customHeight="1" x14ac:dyDescent="0.2">
      <c r="A29" s="888" t="s">
        <v>257</v>
      </c>
      <c r="B29" s="888"/>
      <c r="C29" s="888"/>
      <c r="D29" s="46">
        <v>34000</v>
      </c>
      <c r="E29" s="46">
        <v>34000</v>
      </c>
      <c r="F29" s="46">
        <v>34000</v>
      </c>
      <c r="G29" s="889" t="s">
        <v>256</v>
      </c>
      <c r="H29" s="890"/>
      <c r="I29" s="25">
        <v>80000</v>
      </c>
      <c r="J29" s="25">
        <v>85000</v>
      </c>
      <c r="K29" s="25">
        <v>85000</v>
      </c>
      <c r="L29" s="164"/>
    </row>
    <row r="30" spans="1:12" ht="24" customHeight="1" x14ac:dyDescent="0.2">
      <c r="A30" s="894" t="s">
        <v>255</v>
      </c>
      <c r="B30" s="904"/>
      <c r="C30" s="895"/>
      <c r="D30" s="44">
        <f>SUM(D27:D29)</f>
        <v>235378</v>
      </c>
      <c r="E30" s="44">
        <f t="shared" ref="E30:F30" si="6">SUM(E27:E29)</f>
        <v>289085</v>
      </c>
      <c r="F30" s="44">
        <f t="shared" si="6"/>
        <v>328302</v>
      </c>
      <c r="G30" s="894" t="s">
        <v>254</v>
      </c>
      <c r="H30" s="895"/>
      <c r="I30" s="51">
        <f>SUM(I27:I29)</f>
        <v>2250000</v>
      </c>
      <c r="J30" s="51">
        <f t="shared" ref="J30:K30" si="7">SUM(J27:J29)</f>
        <v>2260000</v>
      </c>
      <c r="K30" s="51">
        <f t="shared" si="7"/>
        <v>2265000</v>
      </c>
      <c r="L30" s="164"/>
    </row>
    <row r="31" spans="1:12" ht="12" customHeight="1" x14ac:dyDescent="0.2">
      <c r="A31" s="888"/>
      <c r="B31" s="888"/>
      <c r="C31" s="888"/>
      <c r="D31" s="27"/>
      <c r="E31" s="27"/>
      <c r="F31" s="25"/>
      <c r="G31" s="889"/>
      <c r="H31" s="890"/>
      <c r="I31" s="25"/>
      <c r="J31" s="25"/>
      <c r="K31" s="25"/>
      <c r="L31" s="164"/>
    </row>
    <row r="32" spans="1:12" ht="12" customHeight="1" x14ac:dyDescent="0.2">
      <c r="A32" s="889" t="s">
        <v>253</v>
      </c>
      <c r="B32" s="899"/>
      <c r="C32" s="890"/>
      <c r="D32" s="29"/>
      <c r="E32" s="29"/>
      <c r="F32" s="29"/>
      <c r="G32" s="889" t="s">
        <v>252</v>
      </c>
      <c r="H32" s="890"/>
      <c r="I32" s="25">
        <v>120000</v>
      </c>
      <c r="J32" s="25">
        <v>120000</v>
      </c>
      <c r="K32" s="25">
        <v>120000</v>
      </c>
    </row>
    <row r="33" spans="1:12" ht="12" customHeight="1" x14ac:dyDescent="0.2">
      <c r="A33" s="887" t="s">
        <v>251</v>
      </c>
      <c r="B33" s="887"/>
      <c r="C33" s="887"/>
      <c r="D33" s="29"/>
      <c r="E33" s="29"/>
      <c r="F33" s="29"/>
      <c r="G33" s="887" t="s">
        <v>250</v>
      </c>
      <c r="H33" s="887"/>
      <c r="I33" s="159"/>
      <c r="J33" s="159"/>
      <c r="K33" s="159"/>
    </row>
    <row r="34" spans="1:12" ht="12" customHeight="1" x14ac:dyDescent="0.2">
      <c r="A34" s="887" t="s">
        <v>249</v>
      </c>
      <c r="B34" s="887"/>
      <c r="C34" s="887"/>
      <c r="D34" s="29"/>
      <c r="E34" s="29"/>
      <c r="F34" s="29"/>
      <c r="G34" s="889" t="s">
        <v>248</v>
      </c>
      <c r="H34" s="890"/>
      <c r="I34" s="159"/>
      <c r="J34" s="159"/>
      <c r="K34" s="159"/>
    </row>
    <row r="35" spans="1:12" ht="12" customHeight="1" x14ac:dyDescent="0.2">
      <c r="A35" s="888" t="s">
        <v>247</v>
      </c>
      <c r="B35" s="888"/>
      <c r="C35" s="888"/>
      <c r="D35" s="29"/>
      <c r="E35" s="29"/>
      <c r="F35" s="29"/>
      <c r="G35" s="889" t="s">
        <v>246</v>
      </c>
      <c r="H35" s="890"/>
      <c r="I35" s="159"/>
      <c r="J35" s="159"/>
      <c r="K35" s="159"/>
    </row>
    <row r="36" spans="1:12" ht="12" customHeight="1" x14ac:dyDescent="0.2">
      <c r="A36" s="888" t="s">
        <v>245</v>
      </c>
      <c r="B36" s="888"/>
      <c r="C36" s="888"/>
      <c r="D36" s="29"/>
      <c r="E36" s="29"/>
      <c r="F36" s="29"/>
      <c r="G36" s="887" t="s">
        <v>244</v>
      </c>
      <c r="H36" s="887"/>
      <c r="I36" s="159"/>
      <c r="J36" s="159"/>
      <c r="K36" s="159"/>
    </row>
    <row r="37" spans="1:12" ht="12" customHeight="1" x14ac:dyDescent="0.2">
      <c r="A37" s="887" t="s">
        <v>243</v>
      </c>
      <c r="B37" s="887"/>
      <c r="C37" s="887"/>
      <c r="D37" s="29"/>
      <c r="E37" s="29"/>
      <c r="F37" s="29"/>
      <c r="G37" s="887" t="s">
        <v>242</v>
      </c>
      <c r="H37" s="887"/>
      <c r="I37" s="159"/>
      <c r="J37" s="159"/>
      <c r="K37" s="159"/>
    </row>
    <row r="38" spans="1:12" ht="12" customHeight="1" x14ac:dyDescent="0.2">
      <c r="A38" s="891"/>
      <c r="B38" s="891"/>
      <c r="C38" s="891"/>
      <c r="D38" s="29"/>
      <c r="E38" s="29"/>
      <c r="F38" s="29"/>
      <c r="G38" s="887" t="s">
        <v>241</v>
      </c>
      <c r="H38" s="887"/>
      <c r="I38" s="159"/>
      <c r="J38" s="159"/>
      <c r="K38" s="159"/>
    </row>
    <row r="39" spans="1:12" ht="12" customHeight="1" x14ac:dyDescent="0.2">
      <c r="A39" s="595"/>
      <c r="B39" s="541"/>
      <c r="C39" s="542"/>
      <c r="D39" s="601"/>
      <c r="E39" s="601"/>
      <c r="F39" s="29"/>
      <c r="G39" s="536"/>
      <c r="H39" s="537" t="s">
        <v>488</v>
      </c>
      <c r="I39" s="25">
        <v>221000</v>
      </c>
      <c r="J39" s="25">
        <v>221000</v>
      </c>
      <c r="K39" s="25">
        <v>221000</v>
      </c>
    </row>
    <row r="40" spans="1:12" ht="12" customHeight="1" x14ac:dyDescent="0.2">
      <c r="A40" s="894" t="s">
        <v>240</v>
      </c>
      <c r="B40" s="904"/>
      <c r="C40" s="895"/>
      <c r="D40" s="28"/>
      <c r="E40" s="28"/>
      <c r="F40" s="26"/>
      <c r="G40" s="894" t="s">
        <v>239</v>
      </c>
      <c r="H40" s="895"/>
      <c r="I40" s="51">
        <f>SUM(I32:I39)</f>
        <v>341000</v>
      </c>
      <c r="J40" s="51">
        <f t="shared" ref="J40:K40" si="8">SUM(J32:J39)</f>
        <v>341000</v>
      </c>
      <c r="K40" s="51">
        <f t="shared" si="8"/>
        <v>341000</v>
      </c>
      <c r="L40" s="164"/>
    </row>
    <row r="41" spans="1:12" ht="12" customHeight="1" x14ac:dyDescent="0.2">
      <c r="A41" s="888"/>
      <c r="B41" s="888"/>
      <c r="C41" s="888"/>
      <c r="D41" s="27"/>
      <c r="E41" s="27"/>
      <c r="F41" s="25"/>
      <c r="G41" s="889"/>
      <c r="H41" s="890"/>
      <c r="I41" s="25"/>
      <c r="J41" s="25"/>
      <c r="K41" s="25"/>
      <c r="L41" s="164"/>
    </row>
    <row r="42" spans="1:12" ht="12.75" customHeight="1" x14ac:dyDescent="0.2">
      <c r="A42" s="902" t="s">
        <v>238</v>
      </c>
      <c r="B42" s="902"/>
      <c r="C42" s="902"/>
      <c r="D42" s="44">
        <f>+D40+D30</f>
        <v>235378</v>
      </c>
      <c r="E42" s="44">
        <f t="shared" ref="E42:F42" si="9">+E40+E30</f>
        <v>289085</v>
      </c>
      <c r="F42" s="44">
        <f t="shared" si="9"/>
        <v>328302</v>
      </c>
      <c r="G42" s="894" t="s">
        <v>237</v>
      </c>
      <c r="H42" s="895"/>
      <c r="I42" s="51">
        <f>+I40+I30</f>
        <v>2591000</v>
      </c>
      <c r="J42" s="51">
        <f t="shared" ref="J42:K42" si="10">+J40+J30</f>
        <v>2601000</v>
      </c>
      <c r="K42" s="51">
        <f t="shared" si="10"/>
        <v>2606000</v>
      </c>
      <c r="L42" s="164"/>
    </row>
    <row r="43" spans="1:12" ht="12" customHeight="1" x14ac:dyDescent="0.2">
      <c r="A43" s="888"/>
      <c r="B43" s="888"/>
      <c r="C43" s="888"/>
      <c r="D43" s="26"/>
      <c r="E43" s="26"/>
      <c r="F43" s="25"/>
      <c r="G43" s="897"/>
      <c r="H43" s="898"/>
      <c r="I43" s="25"/>
      <c r="J43" s="25"/>
      <c r="K43" s="25"/>
      <c r="L43" s="164"/>
    </row>
    <row r="44" spans="1:12" ht="12.75" customHeight="1" x14ac:dyDescent="0.2">
      <c r="A44" s="896" t="s">
        <v>236</v>
      </c>
      <c r="B44" s="896"/>
      <c r="C44" s="896"/>
      <c r="D44" s="44">
        <f>+D42+D25</f>
        <v>5457378</v>
      </c>
      <c r="E44" s="44">
        <f t="shared" ref="E44:F44" si="11">+E42+E25</f>
        <v>5541085</v>
      </c>
      <c r="F44" s="44">
        <f t="shared" si="11"/>
        <v>5622302</v>
      </c>
      <c r="G44" s="896" t="s">
        <v>235</v>
      </c>
      <c r="H44" s="896"/>
      <c r="I44" s="51">
        <f>+I42+I25</f>
        <v>5457378.4049999993</v>
      </c>
      <c r="J44" s="51">
        <f t="shared" ref="J44:K44" si="12">+J42+J25</f>
        <v>5541085.4619149994</v>
      </c>
      <c r="K44" s="51">
        <f t="shared" si="12"/>
        <v>5622302.3767629946</v>
      </c>
      <c r="L44" s="164"/>
    </row>
    <row r="46" spans="1:12" x14ac:dyDescent="0.2">
      <c r="D46" s="117"/>
      <c r="I46" s="117"/>
      <c r="J46" s="117"/>
      <c r="K46" s="117"/>
    </row>
  </sheetData>
  <mergeCells count="83">
    <mergeCell ref="A44:C44"/>
    <mergeCell ref="G44:H44"/>
    <mergeCell ref="A41:C41"/>
    <mergeCell ref="G41:H41"/>
    <mergeCell ref="A42:C42"/>
    <mergeCell ref="G42:H42"/>
    <mergeCell ref="A43:C43"/>
    <mergeCell ref="G43:H43"/>
    <mergeCell ref="A37:C37"/>
    <mergeCell ref="G37:H37"/>
    <mergeCell ref="A38:C38"/>
    <mergeCell ref="G38:H38"/>
    <mergeCell ref="A40:C40"/>
    <mergeCell ref="G40:H40"/>
    <mergeCell ref="A34:C34"/>
    <mergeCell ref="G34:H34"/>
    <mergeCell ref="A35:C35"/>
    <mergeCell ref="G35:H35"/>
    <mergeCell ref="A36:C36"/>
    <mergeCell ref="G36:H36"/>
    <mergeCell ref="A31:C31"/>
    <mergeCell ref="G31:H31"/>
    <mergeCell ref="A32:C32"/>
    <mergeCell ref="G32:H32"/>
    <mergeCell ref="A33:C33"/>
    <mergeCell ref="G33:H33"/>
    <mergeCell ref="A28:C28"/>
    <mergeCell ref="G28:H28"/>
    <mergeCell ref="A29:C29"/>
    <mergeCell ref="G29:H29"/>
    <mergeCell ref="A30:C30"/>
    <mergeCell ref="G30:H30"/>
    <mergeCell ref="A25:C25"/>
    <mergeCell ref="G25:H25"/>
    <mergeCell ref="A26:C26"/>
    <mergeCell ref="G26:H26"/>
    <mergeCell ref="A27:C27"/>
    <mergeCell ref="G27:H27"/>
    <mergeCell ref="A22:C22"/>
    <mergeCell ref="G22:H22"/>
    <mergeCell ref="A23:C23"/>
    <mergeCell ref="G23:H23"/>
    <mergeCell ref="A24:C24"/>
    <mergeCell ref="G24:H24"/>
    <mergeCell ref="A19:C19"/>
    <mergeCell ref="G19:H19"/>
    <mergeCell ref="A20:C20"/>
    <mergeCell ref="G20:H20"/>
    <mergeCell ref="A21:C21"/>
    <mergeCell ref="G21:H21"/>
    <mergeCell ref="A16:C16"/>
    <mergeCell ref="G16:H16"/>
    <mergeCell ref="A17:C17"/>
    <mergeCell ref="G17:H17"/>
    <mergeCell ref="A18:C18"/>
    <mergeCell ref="G18:H18"/>
    <mergeCell ref="A13:C13"/>
    <mergeCell ref="G13:H13"/>
    <mergeCell ref="A14:C14"/>
    <mergeCell ref="G14:H14"/>
    <mergeCell ref="A15:C15"/>
    <mergeCell ref="G15:H15"/>
    <mergeCell ref="A10:C10"/>
    <mergeCell ref="G10:H10"/>
    <mergeCell ref="A11:C11"/>
    <mergeCell ref="G11:H11"/>
    <mergeCell ref="A12:C12"/>
    <mergeCell ref="G12:H12"/>
    <mergeCell ref="A7:C7"/>
    <mergeCell ref="G7:H7"/>
    <mergeCell ref="A8:C8"/>
    <mergeCell ref="G8:H8"/>
    <mergeCell ref="A9:C9"/>
    <mergeCell ref="G9:H9"/>
    <mergeCell ref="A5:C6"/>
    <mergeCell ref="D5:F5"/>
    <mergeCell ref="G5:H6"/>
    <mergeCell ref="I5:K5"/>
    <mergeCell ref="A2:K2"/>
    <mergeCell ref="A3:C3"/>
    <mergeCell ref="G3:H3"/>
    <mergeCell ref="A4:F4"/>
    <mergeCell ref="G4:K4"/>
  </mergeCells>
  <printOptions horizontalCentered="1"/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>
    <oddHeader>&amp;LVeresegyház Város Önkormányzat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K1" sqref="K1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16384" width="9.140625" style="105"/>
  </cols>
  <sheetData>
    <row r="1" spans="1:12" ht="12" customHeight="1" x14ac:dyDescent="0.2">
      <c r="H1" s="588"/>
      <c r="J1" s="492"/>
      <c r="K1" s="543" t="s">
        <v>1839</v>
      </c>
      <c r="L1" s="492"/>
    </row>
    <row r="2" spans="1:12" ht="12" customHeight="1" x14ac:dyDescent="0.2">
      <c r="A2" s="862" t="s">
        <v>282</v>
      </c>
      <c r="B2" s="862"/>
      <c r="C2" s="862"/>
      <c r="D2" s="862"/>
      <c r="E2" s="862"/>
      <c r="F2" s="862"/>
      <c r="G2" s="862"/>
      <c r="H2" s="862"/>
      <c r="I2" s="862"/>
      <c r="J2" s="862"/>
      <c r="K2" s="862"/>
      <c r="L2" s="528"/>
    </row>
    <row r="3" spans="1:12" ht="12" customHeight="1" x14ac:dyDescent="0.2">
      <c r="A3" s="905"/>
      <c r="B3" s="905"/>
      <c r="C3" s="905"/>
      <c r="D3" s="589"/>
      <c r="E3" s="589"/>
      <c r="F3" s="108"/>
      <c r="G3" s="906"/>
      <c r="H3" s="906"/>
      <c r="J3" s="497"/>
      <c r="K3" s="497" t="s">
        <v>281</v>
      </c>
      <c r="L3" s="497"/>
    </row>
    <row r="4" spans="1:12" ht="12" customHeight="1" x14ac:dyDescent="0.2">
      <c r="A4" s="864" t="s">
        <v>3</v>
      </c>
      <c r="B4" s="864"/>
      <c r="C4" s="864"/>
      <c r="D4" s="864"/>
      <c r="E4" s="864"/>
      <c r="F4" s="864"/>
      <c r="G4" s="864" t="s">
        <v>4</v>
      </c>
      <c r="H4" s="864"/>
      <c r="I4" s="864"/>
      <c r="J4" s="864"/>
      <c r="K4" s="864"/>
      <c r="L4" s="35"/>
    </row>
    <row r="5" spans="1:12" x14ac:dyDescent="0.2">
      <c r="A5" s="843" t="s">
        <v>50</v>
      </c>
      <c r="B5" s="844"/>
      <c r="C5" s="845"/>
      <c r="D5" s="692" t="s">
        <v>280</v>
      </c>
      <c r="E5" s="693"/>
      <c r="F5" s="694"/>
      <c r="G5" s="843" t="s">
        <v>50</v>
      </c>
      <c r="H5" s="845"/>
      <c r="I5" s="864" t="s">
        <v>280</v>
      </c>
      <c r="J5" s="864"/>
      <c r="K5" s="864"/>
      <c r="L5" s="35"/>
    </row>
    <row r="6" spans="1:12" x14ac:dyDescent="0.2">
      <c r="A6" s="846"/>
      <c r="B6" s="847"/>
      <c r="C6" s="848"/>
      <c r="D6" s="529">
        <v>2015</v>
      </c>
      <c r="E6" s="529">
        <v>2016</v>
      </c>
      <c r="F6" s="529">
        <v>2017</v>
      </c>
      <c r="G6" s="846"/>
      <c r="H6" s="848"/>
      <c r="I6" s="529">
        <v>2015</v>
      </c>
      <c r="J6" s="529">
        <v>2016</v>
      </c>
      <c r="K6" s="529">
        <v>2017</v>
      </c>
      <c r="L6" s="35"/>
    </row>
    <row r="7" spans="1:12" ht="12" customHeight="1" x14ac:dyDescent="0.2">
      <c r="A7" s="889" t="s">
        <v>279</v>
      </c>
      <c r="B7" s="899"/>
      <c r="C7" s="890"/>
      <c r="D7" s="27"/>
      <c r="E7" s="27"/>
      <c r="F7" s="25"/>
      <c r="G7" s="889" t="s">
        <v>278</v>
      </c>
      <c r="H7" s="890"/>
      <c r="I7" s="25">
        <v>250000</v>
      </c>
      <c r="J7" s="25">
        <v>255000</v>
      </c>
      <c r="K7" s="25">
        <v>260000</v>
      </c>
      <c r="L7" s="164"/>
    </row>
    <row r="8" spans="1:12" ht="12" customHeight="1" x14ac:dyDescent="0.2">
      <c r="A8" s="889" t="s">
        <v>277</v>
      </c>
      <c r="B8" s="899"/>
      <c r="C8" s="890"/>
      <c r="D8" s="52">
        <v>4000</v>
      </c>
      <c r="E8" s="52">
        <v>4200</v>
      </c>
      <c r="F8" s="52">
        <v>4400</v>
      </c>
      <c r="G8" s="888" t="s">
        <v>276</v>
      </c>
      <c r="H8" s="888"/>
      <c r="I8" s="25">
        <v>67500</v>
      </c>
      <c r="J8" s="25">
        <v>68650</v>
      </c>
      <c r="K8" s="25">
        <v>70200</v>
      </c>
      <c r="L8" s="164"/>
    </row>
    <row r="9" spans="1:12" ht="12" customHeight="1" x14ac:dyDescent="0.2">
      <c r="A9" s="889" t="s">
        <v>275</v>
      </c>
      <c r="B9" s="899"/>
      <c r="C9" s="890"/>
      <c r="D9" s="52">
        <v>3300</v>
      </c>
      <c r="E9" s="52">
        <v>3500</v>
      </c>
      <c r="F9" s="52">
        <v>3600</v>
      </c>
      <c r="G9" s="888" t="s">
        <v>274</v>
      </c>
      <c r="H9" s="888"/>
      <c r="I9" s="25">
        <v>89000</v>
      </c>
      <c r="J9" s="25">
        <v>91000</v>
      </c>
      <c r="K9" s="25">
        <v>94000</v>
      </c>
      <c r="L9" s="164"/>
    </row>
    <row r="10" spans="1:12" ht="12" customHeight="1" x14ac:dyDescent="0.2">
      <c r="A10" s="889" t="s">
        <v>273</v>
      </c>
      <c r="B10" s="899"/>
      <c r="C10" s="890"/>
      <c r="D10" s="33"/>
      <c r="E10" s="33"/>
      <c r="F10" s="25"/>
      <c r="G10" s="888" t="s">
        <v>272</v>
      </c>
      <c r="H10" s="888"/>
      <c r="I10" s="25">
        <v>75000</v>
      </c>
      <c r="J10" s="25">
        <v>77000</v>
      </c>
      <c r="K10" s="25">
        <v>79000</v>
      </c>
      <c r="L10" s="164"/>
    </row>
    <row r="11" spans="1:12" ht="12" customHeight="1" x14ac:dyDescent="0.2">
      <c r="A11" s="888"/>
      <c r="B11" s="888"/>
      <c r="C11" s="888"/>
      <c r="D11" s="27"/>
      <c r="E11" s="27"/>
      <c r="F11" s="25"/>
      <c r="G11" s="888" t="s">
        <v>271</v>
      </c>
      <c r="H11" s="888"/>
      <c r="I11" s="25"/>
      <c r="J11" s="25"/>
      <c r="K11" s="25"/>
      <c r="L11" s="164"/>
    </row>
    <row r="12" spans="1:12" ht="12" customHeight="1" x14ac:dyDescent="0.2">
      <c r="A12" s="902"/>
      <c r="B12" s="902"/>
      <c r="C12" s="902"/>
      <c r="D12" s="34"/>
      <c r="E12" s="34"/>
      <c r="F12" s="25"/>
      <c r="G12" s="900" t="s">
        <v>270</v>
      </c>
      <c r="H12" s="901"/>
      <c r="I12" s="25"/>
      <c r="J12" s="25"/>
      <c r="K12" s="25"/>
      <c r="L12" s="164"/>
    </row>
    <row r="13" spans="1:12" ht="12" customHeight="1" x14ac:dyDescent="0.2">
      <c r="A13" s="903"/>
      <c r="B13" s="903"/>
      <c r="C13" s="903"/>
      <c r="D13" s="32"/>
      <c r="E13" s="32"/>
      <c r="F13" s="25"/>
      <c r="G13" s="889" t="s">
        <v>269</v>
      </c>
      <c r="H13" s="890"/>
      <c r="I13" s="25"/>
      <c r="J13" s="25"/>
      <c r="K13" s="25"/>
      <c r="L13" s="164"/>
    </row>
    <row r="14" spans="1:12" ht="23.25" customHeight="1" x14ac:dyDescent="0.2">
      <c r="A14" s="894" t="s">
        <v>268</v>
      </c>
      <c r="B14" s="904"/>
      <c r="C14" s="895"/>
      <c r="D14" s="44">
        <f>SUM(D8:D13)</f>
        <v>7300</v>
      </c>
      <c r="E14" s="44">
        <f t="shared" ref="E14:F14" si="0">SUM(E8:E13)</f>
        <v>7700</v>
      </c>
      <c r="F14" s="44">
        <f t="shared" si="0"/>
        <v>8000</v>
      </c>
      <c r="G14" s="894" t="s">
        <v>267</v>
      </c>
      <c r="H14" s="895"/>
      <c r="I14" s="51">
        <f>SUM(I7:I11)</f>
        <v>481500</v>
      </c>
      <c r="J14" s="51">
        <f t="shared" ref="J14:K14" si="1">SUM(J7:J11)</f>
        <v>491650</v>
      </c>
      <c r="K14" s="51">
        <f t="shared" si="1"/>
        <v>503200</v>
      </c>
      <c r="L14" s="164"/>
    </row>
    <row r="15" spans="1:12" ht="12" customHeight="1" x14ac:dyDescent="0.2">
      <c r="A15" s="889"/>
      <c r="B15" s="899"/>
      <c r="C15" s="890"/>
      <c r="D15" s="33"/>
      <c r="E15" s="33"/>
      <c r="F15" s="25"/>
      <c r="G15" s="889"/>
      <c r="H15" s="890"/>
      <c r="I15" s="25"/>
      <c r="J15" s="25"/>
      <c r="K15" s="25"/>
      <c r="L15" s="164"/>
    </row>
    <row r="16" spans="1:12" ht="12" customHeight="1" x14ac:dyDescent="0.2">
      <c r="A16" s="889" t="s">
        <v>253</v>
      </c>
      <c r="B16" s="899"/>
      <c r="C16" s="890"/>
      <c r="D16" s="29"/>
      <c r="E16" s="29"/>
      <c r="F16" s="29"/>
      <c r="G16" s="889" t="s">
        <v>266</v>
      </c>
      <c r="H16" s="890"/>
      <c r="I16" s="159"/>
      <c r="J16" s="159"/>
      <c r="K16" s="159"/>
    </row>
    <row r="17" spans="1:12" ht="12" customHeight="1" x14ac:dyDescent="0.2">
      <c r="A17" s="887" t="s">
        <v>251</v>
      </c>
      <c r="B17" s="887"/>
      <c r="C17" s="887"/>
      <c r="D17" s="29"/>
      <c r="E17" s="29"/>
      <c r="F17" s="29"/>
      <c r="G17" s="887" t="s">
        <v>250</v>
      </c>
      <c r="H17" s="887"/>
      <c r="I17" s="159"/>
      <c r="J17" s="159"/>
      <c r="K17" s="159"/>
    </row>
    <row r="18" spans="1:12" ht="12" customHeight="1" x14ac:dyDescent="0.2">
      <c r="A18" s="887" t="s">
        <v>249</v>
      </c>
      <c r="B18" s="887"/>
      <c r="C18" s="887"/>
      <c r="D18" s="29"/>
      <c r="E18" s="29"/>
      <c r="F18" s="29"/>
      <c r="G18" s="887" t="s">
        <v>265</v>
      </c>
      <c r="H18" s="887"/>
      <c r="I18" s="159"/>
      <c r="J18" s="159"/>
      <c r="K18" s="159"/>
    </row>
    <row r="19" spans="1:12" ht="12" customHeight="1" x14ac:dyDescent="0.2">
      <c r="A19" s="888" t="s">
        <v>247</v>
      </c>
      <c r="B19" s="888"/>
      <c r="C19" s="888"/>
      <c r="D19" s="29"/>
      <c r="E19" s="29"/>
      <c r="F19" s="29"/>
      <c r="G19" s="887" t="s">
        <v>246</v>
      </c>
      <c r="H19" s="887"/>
      <c r="I19" s="159"/>
      <c r="J19" s="159"/>
      <c r="K19" s="159"/>
    </row>
    <row r="20" spans="1:12" ht="12" customHeight="1" x14ac:dyDescent="0.2">
      <c r="A20" s="888" t="s">
        <v>245</v>
      </c>
      <c r="B20" s="888"/>
      <c r="C20" s="888"/>
      <c r="D20" s="29"/>
      <c r="E20" s="29"/>
      <c r="F20" s="29"/>
      <c r="G20" s="887" t="s">
        <v>244</v>
      </c>
      <c r="H20" s="887"/>
      <c r="I20" s="159"/>
      <c r="J20" s="159"/>
      <c r="K20" s="159"/>
    </row>
    <row r="21" spans="1:12" ht="12" customHeight="1" x14ac:dyDescent="0.2">
      <c r="A21" s="887" t="s">
        <v>243</v>
      </c>
      <c r="B21" s="887"/>
      <c r="C21" s="887"/>
      <c r="D21" s="52">
        <v>474200</v>
      </c>
      <c r="E21" s="52">
        <v>483950</v>
      </c>
      <c r="F21" s="52">
        <v>495200</v>
      </c>
      <c r="G21" s="887" t="s">
        <v>242</v>
      </c>
      <c r="H21" s="887"/>
      <c r="I21" s="159"/>
      <c r="J21" s="159"/>
      <c r="K21" s="159"/>
    </row>
    <row r="22" spans="1:12" ht="12" customHeight="1" x14ac:dyDescent="0.2">
      <c r="A22" s="891"/>
      <c r="B22" s="891"/>
      <c r="C22" s="891"/>
      <c r="D22" s="29"/>
      <c r="E22" s="29"/>
      <c r="F22" s="29"/>
      <c r="G22" s="887" t="s">
        <v>241</v>
      </c>
      <c r="H22" s="887"/>
      <c r="I22" s="159"/>
      <c r="J22" s="159"/>
      <c r="K22" s="159"/>
    </row>
    <row r="23" spans="1:12" ht="12" customHeight="1" x14ac:dyDescent="0.2">
      <c r="A23" s="902" t="s">
        <v>264</v>
      </c>
      <c r="B23" s="902"/>
      <c r="C23" s="902"/>
      <c r="D23" s="44">
        <f>SUM(D16:D21)</f>
        <v>474200</v>
      </c>
      <c r="E23" s="44">
        <f t="shared" ref="E23:F23" si="2">SUM(E16:E21)</f>
        <v>483950</v>
      </c>
      <c r="F23" s="44">
        <f t="shared" si="2"/>
        <v>495200</v>
      </c>
      <c r="G23" s="894" t="s">
        <v>263</v>
      </c>
      <c r="H23" s="895"/>
      <c r="I23" s="25"/>
      <c r="J23" s="25"/>
      <c r="K23" s="25"/>
      <c r="L23" s="164"/>
    </row>
    <row r="24" spans="1:12" ht="12" customHeight="1" x14ac:dyDescent="0.2">
      <c r="A24" s="903"/>
      <c r="B24" s="903"/>
      <c r="C24" s="903"/>
      <c r="D24" s="32"/>
      <c r="E24" s="32"/>
      <c r="F24" s="25"/>
      <c r="G24" s="892"/>
      <c r="H24" s="893"/>
      <c r="I24" s="25"/>
      <c r="J24" s="25"/>
      <c r="K24" s="25"/>
      <c r="L24" s="164"/>
    </row>
    <row r="25" spans="1:12" ht="12" customHeight="1" x14ac:dyDescent="0.2">
      <c r="A25" s="902" t="s">
        <v>262</v>
      </c>
      <c r="B25" s="902"/>
      <c r="C25" s="902"/>
      <c r="D25" s="44">
        <f>+D23+D14</f>
        <v>481500</v>
      </c>
      <c r="E25" s="44">
        <f t="shared" ref="E25:F25" si="3">+E23+E14</f>
        <v>491650</v>
      </c>
      <c r="F25" s="44">
        <f t="shared" si="3"/>
        <v>503200</v>
      </c>
      <c r="G25" s="894" t="s">
        <v>261</v>
      </c>
      <c r="H25" s="895"/>
      <c r="I25" s="51">
        <f>+I23+I14</f>
        <v>481500</v>
      </c>
      <c r="J25" s="51">
        <f t="shared" ref="J25:K25" si="4">+J23+J14</f>
        <v>491650</v>
      </c>
      <c r="K25" s="51">
        <f t="shared" si="4"/>
        <v>503200</v>
      </c>
      <c r="L25" s="164"/>
    </row>
    <row r="26" spans="1:12" ht="12" customHeight="1" x14ac:dyDescent="0.2">
      <c r="A26" s="888"/>
      <c r="B26" s="888"/>
      <c r="C26" s="888"/>
      <c r="D26" s="26"/>
      <c r="E26" s="26"/>
      <c r="F26" s="25"/>
      <c r="G26" s="889"/>
      <c r="H26" s="890"/>
      <c r="I26" s="25"/>
      <c r="J26" s="25"/>
      <c r="K26" s="25"/>
      <c r="L26" s="164"/>
    </row>
    <row r="27" spans="1:12" ht="12.75" customHeight="1" x14ac:dyDescent="0.2">
      <c r="A27" s="889" t="s">
        <v>260</v>
      </c>
      <c r="B27" s="899"/>
      <c r="C27" s="890"/>
      <c r="D27" s="31"/>
      <c r="E27" s="31"/>
      <c r="F27" s="25"/>
      <c r="G27" s="889" t="s">
        <v>259</v>
      </c>
      <c r="H27" s="890"/>
      <c r="I27" s="25"/>
      <c r="J27" s="25"/>
      <c r="K27" s="25"/>
      <c r="L27" s="164"/>
    </row>
    <row r="28" spans="1:12" ht="12" customHeight="1" x14ac:dyDescent="0.2">
      <c r="A28" s="889" t="s">
        <v>258</v>
      </c>
      <c r="B28" s="899"/>
      <c r="C28" s="890"/>
      <c r="D28" s="31"/>
      <c r="E28" s="31"/>
      <c r="F28" s="25"/>
      <c r="G28" s="889" t="s">
        <v>198</v>
      </c>
      <c r="H28" s="890"/>
      <c r="I28" s="25"/>
      <c r="J28" s="25"/>
      <c r="K28" s="25"/>
      <c r="L28" s="164"/>
    </row>
    <row r="29" spans="1:12" ht="12" customHeight="1" x14ac:dyDescent="0.2">
      <c r="A29" s="888" t="s">
        <v>257</v>
      </c>
      <c r="B29" s="888"/>
      <c r="C29" s="888"/>
      <c r="D29" s="27"/>
      <c r="E29" s="27"/>
      <c r="F29" s="25"/>
      <c r="G29" s="889" t="s">
        <v>256</v>
      </c>
      <c r="H29" s="890"/>
      <c r="I29" s="25"/>
      <c r="J29" s="25"/>
      <c r="K29" s="25"/>
      <c r="L29" s="164"/>
    </row>
    <row r="30" spans="1:12" ht="24" customHeight="1" x14ac:dyDescent="0.2">
      <c r="A30" s="894" t="s">
        <v>255</v>
      </c>
      <c r="B30" s="904"/>
      <c r="C30" s="895"/>
      <c r="D30" s="30"/>
      <c r="E30" s="30"/>
      <c r="F30" s="25"/>
      <c r="G30" s="894" t="s">
        <v>254</v>
      </c>
      <c r="H30" s="895"/>
      <c r="I30" s="25"/>
      <c r="J30" s="25"/>
      <c r="K30" s="25"/>
      <c r="L30" s="164"/>
    </row>
    <row r="31" spans="1:12" ht="12" customHeight="1" x14ac:dyDescent="0.2">
      <c r="A31" s="888"/>
      <c r="B31" s="888"/>
      <c r="C31" s="888"/>
      <c r="D31" s="27"/>
      <c r="E31" s="27"/>
      <c r="F31" s="25"/>
      <c r="G31" s="889"/>
      <c r="H31" s="890"/>
      <c r="I31" s="25"/>
      <c r="J31" s="25"/>
      <c r="K31" s="25"/>
      <c r="L31" s="164"/>
    </row>
    <row r="32" spans="1:12" ht="12" customHeight="1" x14ac:dyDescent="0.2">
      <c r="A32" s="889" t="s">
        <v>253</v>
      </c>
      <c r="B32" s="899"/>
      <c r="C32" s="890"/>
      <c r="D32" s="29"/>
      <c r="E32" s="29"/>
      <c r="F32" s="29"/>
      <c r="G32" s="889" t="s">
        <v>252</v>
      </c>
      <c r="H32" s="890"/>
      <c r="I32" s="159"/>
      <c r="J32" s="159"/>
      <c r="K32" s="159"/>
    </row>
    <row r="33" spans="1:12" ht="12" customHeight="1" x14ac:dyDescent="0.2">
      <c r="A33" s="887" t="s">
        <v>251</v>
      </c>
      <c r="B33" s="887"/>
      <c r="C33" s="887"/>
      <c r="D33" s="29"/>
      <c r="E33" s="29"/>
      <c r="F33" s="29"/>
      <c r="G33" s="887" t="s">
        <v>250</v>
      </c>
      <c r="H33" s="887"/>
      <c r="I33" s="159"/>
      <c r="J33" s="159"/>
      <c r="K33" s="159"/>
    </row>
    <row r="34" spans="1:12" ht="12" customHeight="1" x14ac:dyDescent="0.2">
      <c r="A34" s="887" t="s">
        <v>249</v>
      </c>
      <c r="B34" s="887"/>
      <c r="C34" s="887"/>
      <c r="D34" s="29"/>
      <c r="E34" s="29"/>
      <c r="F34" s="29"/>
      <c r="G34" s="889" t="s">
        <v>248</v>
      </c>
      <c r="H34" s="890"/>
      <c r="I34" s="159"/>
      <c r="J34" s="159"/>
      <c r="K34" s="159"/>
    </row>
    <row r="35" spans="1:12" ht="12" customHeight="1" x14ac:dyDescent="0.2">
      <c r="A35" s="888" t="s">
        <v>247</v>
      </c>
      <c r="B35" s="888"/>
      <c r="C35" s="888"/>
      <c r="D35" s="29"/>
      <c r="E35" s="29"/>
      <c r="F35" s="29"/>
      <c r="G35" s="889" t="s">
        <v>246</v>
      </c>
      <c r="H35" s="890"/>
      <c r="I35" s="159"/>
      <c r="J35" s="159"/>
      <c r="K35" s="159"/>
    </row>
    <row r="36" spans="1:12" ht="12" customHeight="1" x14ac:dyDescent="0.2">
      <c r="A36" s="888" t="s">
        <v>245</v>
      </c>
      <c r="B36" s="888"/>
      <c r="C36" s="888"/>
      <c r="D36" s="29"/>
      <c r="E36" s="29"/>
      <c r="F36" s="29"/>
      <c r="G36" s="887" t="s">
        <v>244</v>
      </c>
      <c r="H36" s="887"/>
      <c r="I36" s="159"/>
      <c r="J36" s="159"/>
      <c r="K36" s="159"/>
    </row>
    <row r="37" spans="1:12" ht="12" customHeight="1" x14ac:dyDescent="0.2">
      <c r="A37" s="887" t="s">
        <v>243</v>
      </c>
      <c r="B37" s="887"/>
      <c r="C37" s="887"/>
      <c r="D37" s="29"/>
      <c r="E37" s="29"/>
      <c r="F37" s="29"/>
      <c r="G37" s="887" t="s">
        <v>242</v>
      </c>
      <c r="H37" s="887"/>
      <c r="I37" s="159"/>
      <c r="J37" s="159"/>
      <c r="K37" s="159"/>
    </row>
    <row r="38" spans="1:12" ht="12" customHeight="1" x14ac:dyDescent="0.2">
      <c r="A38" s="891"/>
      <c r="B38" s="891"/>
      <c r="C38" s="891"/>
      <c r="D38" s="29"/>
      <c r="E38" s="29"/>
      <c r="F38" s="29"/>
      <c r="G38" s="887" t="s">
        <v>241</v>
      </c>
      <c r="H38" s="887"/>
      <c r="I38" s="159"/>
      <c r="J38" s="159"/>
      <c r="K38" s="159"/>
    </row>
    <row r="39" spans="1:12" ht="12" customHeight="1" x14ac:dyDescent="0.2">
      <c r="A39" s="894" t="s">
        <v>240</v>
      </c>
      <c r="B39" s="904"/>
      <c r="C39" s="895"/>
      <c r="D39" s="28"/>
      <c r="E39" s="28"/>
      <c r="F39" s="26"/>
      <c r="G39" s="894" t="s">
        <v>239</v>
      </c>
      <c r="H39" s="895"/>
      <c r="I39" s="25"/>
      <c r="J39" s="25"/>
      <c r="K39" s="25"/>
      <c r="L39" s="164"/>
    </row>
    <row r="40" spans="1:12" ht="12" customHeight="1" x14ac:dyDescent="0.2">
      <c r="A40" s="888"/>
      <c r="B40" s="888"/>
      <c r="C40" s="888"/>
      <c r="D40" s="27"/>
      <c r="E40" s="27"/>
      <c r="F40" s="25"/>
      <c r="G40" s="889"/>
      <c r="H40" s="890"/>
      <c r="I40" s="25"/>
      <c r="J40" s="25"/>
      <c r="K40" s="25"/>
      <c r="L40" s="164"/>
    </row>
    <row r="41" spans="1:12" ht="12.75" customHeight="1" x14ac:dyDescent="0.2">
      <c r="A41" s="902" t="s">
        <v>238</v>
      </c>
      <c r="B41" s="902"/>
      <c r="C41" s="902"/>
      <c r="D41" s="49">
        <f>+D39+D30</f>
        <v>0</v>
      </c>
      <c r="E41" s="49">
        <f t="shared" ref="E41:F41" si="5">+E39+E30</f>
        <v>0</v>
      </c>
      <c r="F41" s="49">
        <f t="shared" si="5"/>
        <v>0</v>
      </c>
      <c r="G41" s="894" t="s">
        <v>237</v>
      </c>
      <c r="H41" s="895"/>
      <c r="I41" s="51">
        <f>+I39+I30</f>
        <v>0</v>
      </c>
      <c r="J41" s="51">
        <f t="shared" ref="J41:K41" si="6">+J39+J30</f>
        <v>0</v>
      </c>
      <c r="K41" s="51">
        <f t="shared" si="6"/>
        <v>0</v>
      </c>
      <c r="L41" s="164"/>
    </row>
    <row r="42" spans="1:12" ht="12" customHeight="1" x14ac:dyDescent="0.2">
      <c r="A42" s="888"/>
      <c r="B42" s="888"/>
      <c r="C42" s="888"/>
      <c r="D42" s="26"/>
      <c r="E42" s="26"/>
      <c r="F42" s="25"/>
      <c r="G42" s="897"/>
      <c r="H42" s="898"/>
      <c r="I42" s="25"/>
      <c r="J42" s="25"/>
      <c r="K42" s="25"/>
      <c r="L42" s="164"/>
    </row>
    <row r="43" spans="1:12" ht="12.75" customHeight="1" x14ac:dyDescent="0.2">
      <c r="A43" s="896" t="s">
        <v>236</v>
      </c>
      <c r="B43" s="896"/>
      <c r="C43" s="896"/>
      <c r="D43" s="50">
        <f>+D41+D25</f>
        <v>481500</v>
      </c>
      <c r="E43" s="50">
        <f t="shared" ref="E43:F43" si="7">+E41+E25</f>
        <v>491650</v>
      </c>
      <c r="F43" s="50">
        <f t="shared" si="7"/>
        <v>503200</v>
      </c>
      <c r="G43" s="896" t="s">
        <v>235</v>
      </c>
      <c r="H43" s="896"/>
      <c r="I43" s="51">
        <f>+I41+I25</f>
        <v>481500</v>
      </c>
      <c r="J43" s="51">
        <f t="shared" ref="J43:K43" si="8">+J41+J25</f>
        <v>491650</v>
      </c>
      <c r="K43" s="51">
        <f t="shared" si="8"/>
        <v>503200</v>
      </c>
      <c r="L43" s="164"/>
    </row>
  </sheetData>
  <mergeCells count="83">
    <mergeCell ref="A43:C43"/>
    <mergeCell ref="G43:H43"/>
    <mergeCell ref="A40:C40"/>
    <mergeCell ref="G40:H40"/>
    <mergeCell ref="A41:C41"/>
    <mergeCell ref="G41:H41"/>
    <mergeCell ref="A42:C42"/>
    <mergeCell ref="G42:H42"/>
    <mergeCell ref="A37:C37"/>
    <mergeCell ref="G37:H37"/>
    <mergeCell ref="A38:C38"/>
    <mergeCell ref="G38:H38"/>
    <mergeCell ref="A39:C39"/>
    <mergeCell ref="G39:H39"/>
    <mergeCell ref="A34:C34"/>
    <mergeCell ref="G34:H34"/>
    <mergeCell ref="A35:C35"/>
    <mergeCell ref="G35:H35"/>
    <mergeCell ref="A36:C36"/>
    <mergeCell ref="G36:H36"/>
    <mergeCell ref="A31:C31"/>
    <mergeCell ref="G31:H31"/>
    <mergeCell ref="A32:C32"/>
    <mergeCell ref="G32:H32"/>
    <mergeCell ref="A33:C33"/>
    <mergeCell ref="G33:H33"/>
    <mergeCell ref="A28:C28"/>
    <mergeCell ref="G28:H28"/>
    <mergeCell ref="A29:C29"/>
    <mergeCell ref="G29:H29"/>
    <mergeCell ref="A30:C30"/>
    <mergeCell ref="G30:H30"/>
    <mergeCell ref="A25:C25"/>
    <mergeCell ref="G25:H25"/>
    <mergeCell ref="A26:C26"/>
    <mergeCell ref="G26:H26"/>
    <mergeCell ref="A27:C27"/>
    <mergeCell ref="G27:H27"/>
    <mergeCell ref="A22:C22"/>
    <mergeCell ref="G22:H22"/>
    <mergeCell ref="A23:C23"/>
    <mergeCell ref="G23:H23"/>
    <mergeCell ref="A24:C24"/>
    <mergeCell ref="G24:H24"/>
    <mergeCell ref="A19:C19"/>
    <mergeCell ref="G19:H19"/>
    <mergeCell ref="A20:C20"/>
    <mergeCell ref="G20:H20"/>
    <mergeCell ref="A21:C21"/>
    <mergeCell ref="G21:H21"/>
    <mergeCell ref="A16:C16"/>
    <mergeCell ref="G16:H16"/>
    <mergeCell ref="A17:C17"/>
    <mergeCell ref="G17:H17"/>
    <mergeCell ref="A18:C18"/>
    <mergeCell ref="G18:H18"/>
    <mergeCell ref="A13:C13"/>
    <mergeCell ref="G13:H13"/>
    <mergeCell ref="A14:C14"/>
    <mergeCell ref="G14:H14"/>
    <mergeCell ref="A15:C15"/>
    <mergeCell ref="G15:H15"/>
    <mergeCell ref="A10:C10"/>
    <mergeCell ref="G10:H10"/>
    <mergeCell ref="A11:C11"/>
    <mergeCell ref="G11:H11"/>
    <mergeCell ref="A12:C12"/>
    <mergeCell ref="G12:H12"/>
    <mergeCell ref="A7:C7"/>
    <mergeCell ref="G7:H7"/>
    <mergeCell ref="A8:C8"/>
    <mergeCell ref="G8:H8"/>
    <mergeCell ref="A9:C9"/>
    <mergeCell ref="G9:H9"/>
    <mergeCell ref="A5:C6"/>
    <mergeCell ref="D5:F5"/>
    <mergeCell ref="G5:H6"/>
    <mergeCell ref="I5:K5"/>
    <mergeCell ref="A2:K2"/>
    <mergeCell ref="A3:C3"/>
    <mergeCell ref="G3:H3"/>
    <mergeCell ref="A4:F4"/>
    <mergeCell ref="G4:K4"/>
  </mergeCells>
  <printOptions horizontalCentered="1"/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>
    <oddHeader>&amp;LVeresegyházi Polgármesteri Hivatal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K1" sqref="K1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258" width="9.140625" style="105"/>
    <col min="259" max="259" width="20" style="105" customWidth="1"/>
    <col min="260" max="262" width="10.7109375" style="105" customWidth="1"/>
    <col min="263" max="263" width="6.5703125" style="105" customWidth="1"/>
    <col min="264" max="264" width="32.5703125" style="105" customWidth="1"/>
    <col min="265" max="267" width="10.7109375" style="105" customWidth="1"/>
    <col min="268" max="268" width="15.140625" style="105" customWidth="1"/>
    <col min="269" max="514" width="9.140625" style="105"/>
    <col min="515" max="515" width="20" style="105" customWidth="1"/>
    <col min="516" max="518" width="10.7109375" style="105" customWidth="1"/>
    <col min="519" max="519" width="6.5703125" style="105" customWidth="1"/>
    <col min="520" max="520" width="32.5703125" style="105" customWidth="1"/>
    <col min="521" max="523" width="10.7109375" style="105" customWidth="1"/>
    <col min="524" max="524" width="15.140625" style="105" customWidth="1"/>
    <col min="525" max="770" width="9.140625" style="105"/>
    <col min="771" max="771" width="20" style="105" customWidth="1"/>
    <col min="772" max="774" width="10.7109375" style="105" customWidth="1"/>
    <col min="775" max="775" width="6.5703125" style="105" customWidth="1"/>
    <col min="776" max="776" width="32.5703125" style="105" customWidth="1"/>
    <col min="777" max="779" width="10.7109375" style="105" customWidth="1"/>
    <col min="780" max="780" width="15.140625" style="105" customWidth="1"/>
    <col min="781" max="1026" width="9.140625" style="105"/>
    <col min="1027" max="1027" width="20" style="105" customWidth="1"/>
    <col min="1028" max="1030" width="10.7109375" style="105" customWidth="1"/>
    <col min="1031" max="1031" width="6.5703125" style="105" customWidth="1"/>
    <col min="1032" max="1032" width="32.5703125" style="105" customWidth="1"/>
    <col min="1033" max="1035" width="10.7109375" style="105" customWidth="1"/>
    <col min="1036" max="1036" width="15.140625" style="105" customWidth="1"/>
    <col min="1037" max="1282" width="9.140625" style="105"/>
    <col min="1283" max="1283" width="20" style="105" customWidth="1"/>
    <col min="1284" max="1286" width="10.7109375" style="105" customWidth="1"/>
    <col min="1287" max="1287" width="6.5703125" style="105" customWidth="1"/>
    <col min="1288" max="1288" width="32.5703125" style="105" customWidth="1"/>
    <col min="1289" max="1291" width="10.7109375" style="105" customWidth="1"/>
    <col min="1292" max="1292" width="15.140625" style="105" customWidth="1"/>
    <col min="1293" max="1538" width="9.140625" style="105"/>
    <col min="1539" max="1539" width="20" style="105" customWidth="1"/>
    <col min="1540" max="1542" width="10.7109375" style="105" customWidth="1"/>
    <col min="1543" max="1543" width="6.5703125" style="105" customWidth="1"/>
    <col min="1544" max="1544" width="32.5703125" style="105" customWidth="1"/>
    <col min="1545" max="1547" width="10.7109375" style="105" customWidth="1"/>
    <col min="1548" max="1548" width="15.140625" style="105" customWidth="1"/>
    <col min="1549" max="1794" width="9.140625" style="105"/>
    <col min="1795" max="1795" width="20" style="105" customWidth="1"/>
    <col min="1796" max="1798" width="10.7109375" style="105" customWidth="1"/>
    <col min="1799" max="1799" width="6.5703125" style="105" customWidth="1"/>
    <col min="1800" max="1800" width="32.5703125" style="105" customWidth="1"/>
    <col min="1801" max="1803" width="10.7109375" style="105" customWidth="1"/>
    <col min="1804" max="1804" width="15.140625" style="105" customWidth="1"/>
    <col min="1805" max="2050" width="9.140625" style="105"/>
    <col min="2051" max="2051" width="20" style="105" customWidth="1"/>
    <col min="2052" max="2054" width="10.7109375" style="105" customWidth="1"/>
    <col min="2055" max="2055" width="6.5703125" style="105" customWidth="1"/>
    <col min="2056" max="2056" width="32.5703125" style="105" customWidth="1"/>
    <col min="2057" max="2059" width="10.7109375" style="105" customWidth="1"/>
    <col min="2060" max="2060" width="15.140625" style="105" customWidth="1"/>
    <col min="2061" max="2306" width="9.140625" style="105"/>
    <col min="2307" max="2307" width="20" style="105" customWidth="1"/>
    <col min="2308" max="2310" width="10.7109375" style="105" customWidth="1"/>
    <col min="2311" max="2311" width="6.5703125" style="105" customWidth="1"/>
    <col min="2312" max="2312" width="32.5703125" style="105" customWidth="1"/>
    <col min="2313" max="2315" width="10.7109375" style="105" customWidth="1"/>
    <col min="2316" max="2316" width="15.140625" style="105" customWidth="1"/>
    <col min="2317" max="2562" width="9.140625" style="105"/>
    <col min="2563" max="2563" width="20" style="105" customWidth="1"/>
    <col min="2564" max="2566" width="10.7109375" style="105" customWidth="1"/>
    <col min="2567" max="2567" width="6.5703125" style="105" customWidth="1"/>
    <col min="2568" max="2568" width="32.5703125" style="105" customWidth="1"/>
    <col min="2569" max="2571" width="10.7109375" style="105" customWidth="1"/>
    <col min="2572" max="2572" width="15.140625" style="105" customWidth="1"/>
    <col min="2573" max="2818" width="9.140625" style="105"/>
    <col min="2819" max="2819" width="20" style="105" customWidth="1"/>
    <col min="2820" max="2822" width="10.7109375" style="105" customWidth="1"/>
    <col min="2823" max="2823" width="6.5703125" style="105" customWidth="1"/>
    <col min="2824" max="2824" width="32.5703125" style="105" customWidth="1"/>
    <col min="2825" max="2827" width="10.7109375" style="105" customWidth="1"/>
    <col min="2828" max="2828" width="15.140625" style="105" customWidth="1"/>
    <col min="2829" max="3074" width="9.140625" style="105"/>
    <col min="3075" max="3075" width="20" style="105" customWidth="1"/>
    <col min="3076" max="3078" width="10.7109375" style="105" customWidth="1"/>
    <col min="3079" max="3079" width="6.5703125" style="105" customWidth="1"/>
    <col min="3080" max="3080" width="32.5703125" style="105" customWidth="1"/>
    <col min="3081" max="3083" width="10.7109375" style="105" customWidth="1"/>
    <col min="3084" max="3084" width="15.140625" style="105" customWidth="1"/>
    <col min="3085" max="3330" width="9.140625" style="105"/>
    <col min="3331" max="3331" width="20" style="105" customWidth="1"/>
    <col min="3332" max="3334" width="10.7109375" style="105" customWidth="1"/>
    <col min="3335" max="3335" width="6.5703125" style="105" customWidth="1"/>
    <col min="3336" max="3336" width="32.5703125" style="105" customWidth="1"/>
    <col min="3337" max="3339" width="10.7109375" style="105" customWidth="1"/>
    <col min="3340" max="3340" width="15.140625" style="105" customWidth="1"/>
    <col min="3341" max="3586" width="9.140625" style="105"/>
    <col min="3587" max="3587" width="20" style="105" customWidth="1"/>
    <col min="3588" max="3590" width="10.7109375" style="105" customWidth="1"/>
    <col min="3591" max="3591" width="6.5703125" style="105" customWidth="1"/>
    <col min="3592" max="3592" width="32.5703125" style="105" customWidth="1"/>
    <col min="3593" max="3595" width="10.7109375" style="105" customWidth="1"/>
    <col min="3596" max="3596" width="15.140625" style="105" customWidth="1"/>
    <col min="3597" max="3842" width="9.140625" style="105"/>
    <col min="3843" max="3843" width="20" style="105" customWidth="1"/>
    <col min="3844" max="3846" width="10.7109375" style="105" customWidth="1"/>
    <col min="3847" max="3847" width="6.5703125" style="105" customWidth="1"/>
    <col min="3848" max="3848" width="32.5703125" style="105" customWidth="1"/>
    <col min="3849" max="3851" width="10.7109375" style="105" customWidth="1"/>
    <col min="3852" max="3852" width="15.140625" style="105" customWidth="1"/>
    <col min="3853" max="4098" width="9.140625" style="105"/>
    <col min="4099" max="4099" width="20" style="105" customWidth="1"/>
    <col min="4100" max="4102" width="10.7109375" style="105" customWidth="1"/>
    <col min="4103" max="4103" width="6.5703125" style="105" customWidth="1"/>
    <col min="4104" max="4104" width="32.5703125" style="105" customWidth="1"/>
    <col min="4105" max="4107" width="10.7109375" style="105" customWidth="1"/>
    <col min="4108" max="4108" width="15.140625" style="105" customWidth="1"/>
    <col min="4109" max="4354" width="9.140625" style="105"/>
    <col min="4355" max="4355" width="20" style="105" customWidth="1"/>
    <col min="4356" max="4358" width="10.7109375" style="105" customWidth="1"/>
    <col min="4359" max="4359" width="6.5703125" style="105" customWidth="1"/>
    <col min="4360" max="4360" width="32.5703125" style="105" customWidth="1"/>
    <col min="4361" max="4363" width="10.7109375" style="105" customWidth="1"/>
    <col min="4364" max="4364" width="15.140625" style="105" customWidth="1"/>
    <col min="4365" max="4610" width="9.140625" style="105"/>
    <col min="4611" max="4611" width="20" style="105" customWidth="1"/>
    <col min="4612" max="4614" width="10.7109375" style="105" customWidth="1"/>
    <col min="4615" max="4615" width="6.5703125" style="105" customWidth="1"/>
    <col min="4616" max="4616" width="32.5703125" style="105" customWidth="1"/>
    <col min="4617" max="4619" width="10.7109375" style="105" customWidth="1"/>
    <col min="4620" max="4620" width="15.140625" style="105" customWidth="1"/>
    <col min="4621" max="4866" width="9.140625" style="105"/>
    <col min="4867" max="4867" width="20" style="105" customWidth="1"/>
    <col min="4868" max="4870" width="10.7109375" style="105" customWidth="1"/>
    <col min="4871" max="4871" width="6.5703125" style="105" customWidth="1"/>
    <col min="4872" max="4872" width="32.5703125" style="105" customWidth="1"/>
    <col min="4873" max="4875" width="10.7109375" style="105" customWidth="1"/>
    <col min="4876" max="4876" width="15.140625" style="105" customWidth="1"/>
    <col min="4877" max="5122" width="9.140625" style="105"/>
    <col min="5123" max="5123" width="20" style="105" customWidth="1"/>
    <col min="5124" max="5126" width="10.7109375" style="105" customWidth="1"/>
    <col min="5127" max="5127" width="6.5703125" style="105" customWidth="1"/>
    <col min="5128" max="5128" width="32.5703125" style="105" customWidth="1"/>
    <col min="5129" max="5131" width="10.7109375" style="105" customWidth="1"/>
    <col min="5132" max="5132" width="15.140625" style="105" customWidth="1"/>
    <col min="5133" max="5378" width="9.140625" style="105"/>
    <col min="5379" max="5379" width="20" style="105" customWidth="1"/>
    <col min="5380" max="5382" width="10.7109375" style="105" customWidth="1"/>
    <col min="5383" max="5383" width="6.5703125" style="105" customWidth="1"/>
    <col min="5384" max="5384" width="32.5703125" style="105" customWidth="1"/>
    <col min="5385" max="5387" width="10.7109375" style="105" customWidth="1"/>
    <col min="5388" max="5388" width="15.140625" style="105" customWidth="1"/>
    <col min="5389" max="5634" width="9.140625" style="105"/>
    <col min="5635" max="5635" width="20" style="105" customWidth="1"/>
    <col min="5636" max="5638" width="10.7109375" style="105" customWidth="1"/>
    <col min="5639" max="5639" width="6.5703125" style="105" customWidth="1"/>
    <col min="5640" max="5640" width="32.5703125" style="105" customWidth="1"/>
    <col min="5641" max="5643" width="10.7109375" style="105" customWidth="1"/>
    <col min="5644" max="5644" width="15.140625" style="105" customWidth="1"/>
    <col min="5645" max="5890" width="9.140625" style="105"/>
    <col min="5891" max="5891" width="20" style="105" customWidth="1"/>
    <col min="5892" max="5894" width="10.7109375" style="105" customWidth="1"/>
    <col min="5895" max="5895" width="6.5703125" style="105" customWidth="1"/>
    <col min="5896" max="5896" width="32.5703125" style="105" customWidth="1"/>
    <col min="5897" max="5899" width="10.7109375" style="105" customWidth="1"/>
    <col min="5900" max="5900" width="15.140625" style="105" customWidth="1"/>
    <col min="5901" max="6146" width="9.140625" style="105"/>
    <col min="6147" max="6147" width="20" style="105" customWidth="1"/>
    <col min="6148" max="6150" width="10.7109375" style="105" customWidth="1"/>
    <col min="6151" max="6151" width="6.5703125" style="105" customWidth="1"/>
    <col min="6152" max="6152" width="32.5703125" style="105" customWidth="1"/>
    <col min="6153" max="6155" width="10.7109375" style="105" customWidth="1"/>
    <col min="6156" max="6156" width="15.140625" style="105" customWidth="1"/>
    <col min="6157" max="6402" width="9.140625" style="105"/>
    <col min="6403" max="6403" width="20" style="105" customWidth="1"/>
    <col min="6404" max="6406" width="10.7109375" style="105" customWidth="1"/>
    <col min="6407" max="6407" width="6.5703125" style="105" customWidth="1"/>
    <col min="6408" max="6408" width="32.5703125" style="105" customWidth="1"/>
    <col min="6409" max="6411" width="10.7109375" style="105" customWidth="1"/>
    <col min="6412" max="6412" width="15.140625" style="105" customWidth="1"/>
    <col min="6413" max="6658" width="9.140625" style="105"/>
    <col min="6659" max="6659" width="20" style="105" customWidth="1"/>
    <col min="6660" max="6662" width="10.7109375" style="105" customWidth="1"/>
    <col min="6663" max="6663" width="6.5703125" style="105" customWidth="1"/>
    <col min="6664" max="6664" width="32.5703125" style="105" customWidth="1"/>
    <col min="6665" max="6667" width="10.7109375" style="105" customWidth="1"/>
    <col min="6668" max="6668" width="15.140625" style="105" customWidth="1"/>
    <col min="6669" max="6914" width="9.140625" style="105"/>
    <col min="6915" max="6915" width="20" style="105" customWidth="1"/>
    <col min="6916" max="6918" width="10.7109375" style="105" customWidth="1"/>
    <col min="6919" max="6919" width="6.5703125" style="105" customWidth="1"/>
    <col min="6920" max="6920" width="32.5703125" style="105" customWidth="1"/>
    <col min="6921" max="6923" width="10.7109375" style="105" customWidth="1"/>
    <col min="6924" max="6924" width="15.140625" style="105" customWidth="1"/>
    <col min="6925" max="7170" width="9.140625" style="105"/>
    <col min="7171" max="7171" width="20" style="105" customWidth="1"/>
    <col min="7172" max="7174" width="10.7109375" style="105" customWidth="1"/>
    <col min="7175" max="7175" width="6.5703125" style="105" customWidth="1"/>
    <col min="7176" max="7176" width="32.5703125" style="105" customWidth="1"/>
    <col min="7177" max="7179" width="10.7109375" style="105" customWidth="1"/>
    <col min="7180" max="7180" width="15.140625" style="105" customWidth="1"/>
    <col min="7181" max="7426" width="9.140625" style="105"/>
    <col min="7427" max="7427" width="20" style="105" customWidth="1"/>
    <col min="7428" max="7430" width="10.7109375" style="105" customWidth="1"/>
    <col min="7431" max="7431" width="6.5703125" style="105" customWidth="1"/>
    <col min="7432" max="7432" width="32.5703125" style="105" customWidth="1"/>
    <col min="7433" max="7435" width="10.7109375" style="105" customWidth="1"/>
    <col min="7436" max="7436" width="15.140625" style="105" customWidth="1"/>
    <col min="7437" max="7682" width="9.140625" style="105"/>
    <col min="7683" max="7683" width="20" style="105" customWidth="1"/>
    <col min="7684" max="7686" width="10.7109375" style="105" customWidth="1"/>
    <col min="7687" max="7687" width="6.5703125" style="105" customWidth="1"/>
    <col min="7688" max="7688" width="32.5703125" style="105" customWidth="1"/>
    <col min="7689" max="7691" width="10.7109375" style="105" customWidth="1"/>
    <col min="7692" max="7692" width="15.140625" style="105" customWidth="1"/>
    <col min="7693" max="7938" width="9.140625" style="105"/>
    <col min="7939" max="7939" width="20" style="105" customWidth="1"/>
    <col min="7940" max="7942" width="10.7109375" style="105" customWidth="1"/>
    <col min="7943" max="7943" width="6.5703125" style="105" customWidth="1"/>
    <col min="7944" max="7944" width="32.5703125" style="105" customWidth="1"/>
    <col min="7945" max="7947" width="10.7109375" style="105" customWidth="1"/>
    <col min="7948" max="7948" width="15.140625" style="105" customWidth="1"/>
    <col min="7949" max="8194" width="9.140625" style="105"/>
    <col min="8195" max="8195" width="20" style="105" customWidth="1"/>
    <col min="8196" max="8198" width="10.7109375" style="105" customWidth="1"/>
    <col min="8199" max="8199" width="6.5703125" style="105" customWidth="1"/>
    <col min="8200" max="8200" width="32.5703125" style="105" customWidth="1"/>
    <col min="8201" max="8203" width="10.7109375" style="105" customWidth="1"/>
    <col min="8204" max="8204" width="15.140625" style="105" customWidth="1"/>
    <col min="8205" max="8450" width="9.140625" style="105"/>
    <col min="8451" max="8451" width="20" style="105" customWidth="1"/>
    <col min="8452" max="8454" width="10.7109375" style="105" customWidth="1"/>
    <col min="8455" max="8455" width="6.5703125" style="105" customWidth="1"/>
    <col min="8456" max="8456" width="32.5703125" style="105" customWidth="1"/>
    <col min="8457" max="8459" width="10.7109375" style="105" customWidth="1"/>
    <col min="8460" max="8460" width="15.140625" style="105" customWidth="1"/>
    <col min="8461" max="8706" width="9.140625" style="105"/>
    <col min="8707" max="8707" width="20" style="105" customWidth="1"/>
    <col min="8708" max="8710" width="10.7109375" style="105" customWidth="1"/>
    <col min="8711" max="8711" width="6.5703125" style="105" customWidth="1"/>
    <col min="8712" max="8712" width="32.5703125" style="105" customWidth="1"/>
    <col min="8713" max="8715" width="10.7109375" style="105" customWidth="1"/>
    <col min="8716" max="8716" width="15.140625" style="105" customWidth="1"/>
    <col min="8717" max="8962" width="9.140625" style="105"/>
    <col min="8963" max="8963" width="20" style="105" customWidth="1"/>
    <col min="8964" max="8966" width="10.7109375" style="105" customWidth="1"/>
    <col min="8967" max="8967" width="6.5703125" style="105" customWidth="1"/>
    <col min="8968" max="8968" width="32.5703125" style="105" customWidth="1"/>
    <col min="8969" max="8971" width="10.7109375" style="105" customWidth="1"/>
    <col min="8972" max="8972" width="15.140625" style="105" customWidth="1"/>
    <col min="8973" max="9218" width="9.140625" style="105"/>
    <col min="9219" max="9219" width="20" style="105" customWidth="1"/>
    <col min="9220" max="9222" width="10.7109375" style="105" customWidth="1"/>
    <col min="9223" max="9223" width="6.5703125" style="105" customWidth="1"/>
    <col min="9224" max="9224" width="32.5703125" style="105" customWidth="1"/>
    <col min="9225" max="9227" width="10.7109375" style="105" customWidth="1"/>
    <col min="9228" max="9228" width="15.140625" style="105" customWidth="1"/>
    <col min="9229" max="9474" width="9.140625" style="105"/>
    <col min="9475" max="9475" width="20" style="105" customWidth="1"/>
    <col min="9476" max="9478" width="10.7109375" style="105" customWidth="1"/>
    <col min="9479" max="9479" width="6.5703125" style="105" customWidth="1"/>
    <col min="9480" max="9480" width="32.5703125" style="105" customWidth="1"/>
    <col min="9481" max="9483" width="10.7109375" style="105" customWidth="1"/>
    <col min="9484" max="9484" width="15.140625" style="105" customWidth="1"/>
    <col min="9485" max="9730" width="9.140625" style="105"/>
    <col min="9731" max="9731" width="20" style="105" customWidth="1"/>
    <col min="9732" max="9734" width="10.7109375" style="105" customWidth="1"/>
    <col min="9735" max="9735" width="6.5703125" style="105" customWidth="1"/>
    <col min="9736" max="9736" width="32.5703125" style="105" customWidth="1"/>
    <col min="9737" max="9739" width="10.7109375" style="105" customWidth="1"/>
    <col min="9740" max="9740" width="15.140625" style="105" customWidth="1"/>
    <col min="9741" max="9986" width="9.140625" style="105"/>
    <col min="9987" max="9987" width="20" style="105" customWidth="1"/>
    <col min="9988" max="9990" width="10.7109375" style="105" customWidth="1"/>
    <col min="9991" max="9991" width="6.5703125" style="105" customWidth="1"/>
    <col min="9992" max="9992" width="32.5703125" style="105" customWidth="1"/>
    <col min="9993" max="9995" width="10.7109375" style="105" customWidth="1"/>
    <col min="9996" max="9996" width="15.140625" style="105" customWidth="1"/>
    <col min="9997" max="10242" width="9.140625" style="105"/>
    <col min="10243" max="10243" width="20" style="105" customWidth="1"/>
    <col min="10244" max="10246" width="10.7109375" style="105" customWidth="1"/>
    <col min="10247" max="10247" width="6.5703125" style="105" customWidth="1"/>
    <col min="10248" max="10248" width="32.5703125" style="105" customWidth="1"/>
    <col min="10249" max="10251" width="10.7109375" style="105" customWidth="1"/>
    <col min="10252" max="10252" width="15.140625" style="105" customWidth="1"/>
    <col min="10253" max="10498" width="9.140625" style="105"/>
    <col min="10499" max="10499" width="20" style="105" customWidth="1"/>
    <col min="10500" max="10502" width="10.7109375" style="105" customWidth="1"/>
    <col min="10503" max="10503" width="6.5703125" style="105" customWidth="1"/>
    <col min="10504" max="10504" width="32.5703125" style="105" customWidth="1"/>
    <col min="10505" max="10507" width="10.7109375" style="105" customWidth="1"/>
    <col min="10508" max="10508" width="15.140625" style="105" customWidth="1"/>
    <col min="10509" max="10754" width="9.140625" style="105"/>
    <col min="10755" max="10755" width="20" style="105" customWidth="1"/>
    <col min="10756" max="10758" width="10.7109375" style="105" customWidth="1"/>
    <col min="10759" max="10759" width="6.5703125" style="105" customWidth="1"/>
    <col min="10760" max="10760" width="32.5703125" style="105" customWidth="1"/>
    <col min="10761" max="10763" width="10.7109375" style="105" customWidth="1"/>
    <col min="10764" max="10764" width="15.140625" style="105" customWidth="1"/>
    <col min="10765" max="11010" width="9.140625" style="105"/>
    <col min="11011" max="11011" width="20" style="105" customWidth="1"/>
    <col min="11012" max="11014" width="10.7109375" style="105" customWidth="1"/>
    <col min="11015" max="11015" width="6.5703125" style="105" customWidth="1"/>
    <col min="11016" max="11016" width="32.5703125" style="105" customWidth="1"/>
    <col min="11017" max="11019" width="10.7109375" style="105" customWidth="1"/>
    <col min="11020" max="11020" width="15.140625" style="105" customWidth="1"/>
    <col min="11021" max="11266" width="9.140625" style="105"/>
    <col min="11267" max="11267" width="20" style="105" customWidth="1"/>
    <col min="11268" max="11270" width="10.7109375" style="105" customWidth="1"/>
    <col min="11271" max="11271" width="6.5703125" style="105" customWidth="1"/>
    <col min="11272" max="11272" width="32.5703125" style="105" customWidth="1"/>
    <col min="11273" max="11275" width="10.7109375" style="105" customWidth="1"/>
    <col min="11276" max="11276" width="15.140625" style="105" customWidth="1"/>
    <col min="11277" max="11522" width="9.140625" style="105"/>
    <col min="11523" max="11523" width="20" style="105" customWidth="1"/>
    <col min="11524" max="11526" width="10.7109375" style="105" customWidth="1"/>
    <col min="11527" max="11527" width="6.5703125" style="105" customWidth="1"/>
    <col min="11528" max="11528" width="32.5703125" style="105" customWidth="1"/>
    <col min="11529" max="11531" width="10.7109375" style="105" customWidth="1"/>
    <col min="11532" max="11532" width="15.140625" style="105" customWidth="1"/>
    <col min="11533" max="11778" width="9.140625" style="105"/>
    <col min="11779" max="11779" width="20" style="105" customWidth="1"/>
    <col min="11780" max="11782" width="10.7109375" style="105" customWidth="1"/>
    <col min="11783" max="11783" width="6.5703125" style="105" customWidth="1"/>
    <col min="11784" max="11784" width="32.5703125" style="105" customWidth="1"/>
    <col min="11785" max="11787" width="10.7109375" style="105" customWidth="1"/>
    <col min="11788" max="11788" width="15.140625" style="105" customWidth="1"/>
    <col min="11789" max="12034" width="9.140625" style="105"/>
    <col min="12035" max="12035" width="20" style="105" customWidth="1"/>
    <col min="12036" max="12038" width="10.7109375" style="105" customWidth="1"/>
    <col min="12039" max="12039" width="6.5703125" style="105" customWidth="1"/>
    <col min="12040" max="12040" width="32.5703125" style="105" customWidth="1"/>
    <col min="12041" max="12043" width="10.7109375" style="105" customWidth="1"/>
    <col min="12044" max="12044" width="15.140625" style="105" customWidth="1"/>
    <col min="12045" max="12290" width="9.140625" style="105"/>
    <col min="12291" max="12291" width="20" style="105" customWidth="1"/>
    <col min="12292" max="12294" width="10.7109375" style="105" customWidth="1"/>
    <col min="12295" max="12295" width="6.5703125" style="105" customWidth="1"/>
    <col min="12296" max="12296" width="32.5703125" style="105" customWidth="1"/>
    <col min="12297" max="12299" width="10.7109375" style="105" customWidth="1"/>
    <col min="12300" max="12300" width="15.140625" style="105" customWidth="1"/>
    <col min="12301" max="12546" width="9.140625" style="105"/>
    <col min="12547" max="12547" width="20" style="105" customWidth="1"/>
    <col min="12548" max="12550" width="10.7109375" style="105" customWidth="1"/>
    <col min="12551" max="12551" width="6.5703125" style="105" customWidth="1"/>
    <col min="12552" max="12552" width="32.5703125" style="105" customWidth="1"/>
    <col min="12553" max="12555" width="10.7109375" style="105" customWidth="1"/>
    <col min="12556" max="12556" width="15.140625" style="105" customWidth="1"/>
    <col min="12557" max="12802" width="9.140625" style="105"/>
    <col min="12803" max="12803" width="20" style="105" customWidth="1"/>
    <col min="12804" max="12806" width="10.7109375" style="105" customWidth="1"/>
    <col min="12807" max="12807" width="6.5703125" style="105" customWidth="1"/>
    <col min="12808" max="12808" width="32.5703125" style="105" customWidth="1"/>
    <col min="12809" max="12811" width="10.7109375" style="105" customWidth="1"/>
    <col min="12812" max="12812" width="15.140625" style="105" customWidth="1"/>
    <col min="12813" max="13058" width="9.140625" style="105"/>
    <col min="13059" max="13059" width="20" style="105" customWidth="1"/>
    <col min="13060" max="13062" width="10.7109375" style="105" customWidth="1"/>
    <col min="13063" max="13063" width="6.5703125" style="105" customWidth="1"/>
    <col min="13064" max="13064" width="32.5703125" style="105" customWidth="1"/>
    <col min="13065" max="13067" width="10.7109375" style="105" customWidth="1"/>
    <col min="13068" max="13068" width="15.140625" style="105" customWidth="1"/>
    <col min="13069" max="13314" width="9.140625" style="105"/>
    <col min="13315" max="13315" width="20" style="105" customWidth="1"/>
    <col min="13316" max="13318" width="10.7109375" style="105" customWidth="1"/>
    <col min="13319" max="13319" width="6.5703125" style="105" customWidth="1"/>
    <col min="13320" max="13320" width="32.5703125" style="105" customWidth="1"/>
    <col min="13321" max="13323" width="10.7109375" style="105" customWidth="1"/>
    <col min="13324" max="13324" width="15.140625" style="105" customWidth="1"/>
    <col min="13325" max="13570" width="9.140625" style="105"/>
    <col min="13571" max="13571" width="20" style="105" customWidth="1"/>
    <col min="13572" max="13574" width="10.7109375" style="105" customWidth="1"/>
    <col min="13575" max="13575" width="6.5703125" style="105" customWidth="1"/>
    <col min="13576" max="13576" width="32.5703125" style="105" customWidth="1"/>
    <col min="13577" max="13579" width="10.7109375" style="105" customWidth="1"/>
    <col min="13580" max="13580" width="15.140625" style="105" customWidth="1"/>
    <col min="13581" max="13826" width="9.140625" style="105"/>
    <col min="13827" max="13827" width="20" style="105" customWidth="1"/>
    <col min="13828" max="13830" width="10.7109375" style="105" customWidth="1"/>
    <col min="13831" max="13831" width="6.5703125" style="105" customWidth="1"/>
    <col min="13832" max="13832" width="32.5703125" style="105" customWidth="1"/>
    <col min="13833" max="13835" width="10.7109375" style="105" customWidth="1"/>
    <col min="13836" max="13836" width="15.140625" style="105" customWidth="1"/>
    <col min="13837" max="14082" width="9.140625" style="105"/>
    <col min="14083" max="14083" width="20" style="105" customWidth="1"/>
    <col min="14084" max="14086" width="10.7109375" style="105" customWidth="1"/>
    <col min="14087" max="14087" width="6.5703125" style="105" customWidth="1"/>
    <col min="14088" max="14088" width="32.5703125" style="105" customWidth="1"/>
    <col min="14089" max="14091" width="10.7109375" style="105" customWidth="1"/>
    <col min="14092" max="14092" width="15.140625" style="105" customWidth="1"/>
    <col min="14093" max="14338" width="9.140625" style="105"/>
    <col min="14339" max="14339" width="20" style="105" customWidth="1"/>
    <col min="14340" max="14342" width="10.7109375" style="105" customWidth="1"/>
    <col min="14343" max="14343" width="6.5703125" style="105" customWidth="1"/>
    <col min="14344" max="14344" width="32.5703125" style="105" customWidth="1"/>
    <col min="14345" max="14347" width="10.7109375" style="105" customWidth="1"/>
    <col min="14348" max="14348" width="15.140625" style="105" customWidth="1"/>
    <col min="14349" max="14594" width="9.140625" style="105"/>
    <col min="14595" max="14595" width="20" style="105" customWidth="1"/>
    <col min="14596" max="14598" width="10.7109375" style="105" customWidth="1"/>
    <col min="14599" max="14599" width="6.5703125" style="105" customWidth="1"/>
    <col min="14600" max="14600" width="32.5703125" style="105" customWidth="1"/>
    <col min="14601" max="14603" width="10.7109375" style="105" customWidth="1"/>
    <col min="14604" max="14604" width="15.140625" style="105" customWidth="1"/>
    <col min="14605" max="14850" width="9.140625" style="105"/>
    <col min="14851" max="14851" width="20" style="105" customWidth="1"/>
    <col min="14852" max="14854" width="10.7109375" style="105" customWidth="1"/>
    <col min="14855" max="14855" width="6.5703125" style="105" customWidth="1"/>
    <col min="14856" max="14856" width="32.5703125" style="105" customWidth="1"/>
    <col min="14857" max="14859" width="10.7109375" style="105" customWidth="1"/>
    <col min="14860" max="14860" width="15.140625" style="105" customWidth="1"/>
    <col min="14861" max="15106" width="9.140625" style="105"/>
    <col min="15107" max="15107" width="20" style="105" customWidth="1"/>
    <col min="15108" max="15110" width="10.7109375" style="105" customWidth="1"/>
    <col min="15111" max="15111" width="6.5703125" style="105" customWidth="1"/>
    <col min="15112" max="15112" width="32.5703125" style="105" customWidth="1"/>
    <col min="15113" max="15115" width="10.7109375" style="105" customWidth="1"/>
    <col min="15116" max="15116" width="15.140625" style="105" customWidth="1"/>
    <col min="15117" max="15362" width="9.140625" style="105"/>
    <col min="15363" max="15363" width="20" style="105" customWidth="1"/>
    <col min="15364" max="15366" width="10.7109375" style="105" customWidth="1"/>
    <col min="15367" max="15367" width="6.5703125" style="105" customWidth="1"/>
    <col min="15368" max="15368" width="32.5703125" style="105" customWidth="1"/>
    <col min="15369" max="15371" width="10.7109375" style="105" customWidth="1"/>
    <col min="15372" max="15372" width="15.140625" style="105" customWidth="1"/>
    <col min="15373" max="15618" width="9.140625" style="105"/>
    <col min="15619" max="15619" width="20" style="105" customWidth="1"/>
    <col min="15620" max="15622" width="10.7109375" style="105" customWidth="1"/>
    <col min="15623" max="15623" width="6.5703125" style="105" customWidth="1"/>
    <col min="15624" max="15624" width="32.5703125" style="105" customWidth="1"/>
    <col min="15625" max="15627" width="10.7109375" style="105" customWidth="1"/>
    <col min="15628" max="15628" width="15.140625" style="105" customWidth="1"/>
    <col min="15629" max="15874" width="9.140625" style="105"/>
    <col min="15875" max="15875" width="20" style="105" customWidth="1"/>
    <col min="15876" max="15878" width="10.7109375" style="105" customWidth="1"/>
    <col min="15879" max="15879" width="6.5703125" style="105" customWidth="1"/>
    <col min="15880" max="15880" width="32.5703125" style="105" customWidth="1"/>
    <col min="15881" max="15883" width="10.7109375" style="105" customWidth="1"/>
    <col min="15884" max="15884" width="15.140625" style="105" customWidth="1"/>
    <col min="15885" max="16130" width="9.140625" style="105"/>
    <col min="16131" max="16131" width="20" style="105" customWidth="1"/>
    <col min="16132" max="16134" width="10.7109375" style="105" customWidth="1"/>
    <col min="16135" max="16135" width="6.5703125" style="105" customWidth="1"/>
    <col min="16136" max="16136" width="32.5703125" style="105" customWidth="1"/>
    <col min="16137" max="16139" width="10.7109375" style="105" customWidth="1"/>
    <col min="16140" max="16140" width="15.140625" style="105" customWidth="1"/>
    <col min="16141" max="16384" width="9.140625" style="105"/>
  </cols>
  <sheetData>
    <row r="1" spans="1:12" ht="12" customHeight="1" x14ac:dyDescent="0.2">
      <c r="A1" s="105" t="s">
        <v>451</v>
      </c>
      <c r="H1" s="588"/>
      <c r="J1" s="492"/>
      <c r="K1" s="543" t="s">
        <v>1840</v>
      </c>
      <c r="L1" s="492"/>
    </row>
    <row r="2" spans="1:12" ht="12" customHeight="1" x14ac:dyDescent="0.2">
      <c r="H2" s="588"/>
      <c r="J2" s="492"/>
      <c r="K2" s="492"/>
      <c r="L2" s="492"/>
    </row>
    <row r="3" spans="1:12" ht="12" customHeight="1" x14ac:dyDescent="0.2">
      <c r="A3" s="862" t="s">
        <v>282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528"/>
    </row>
    <row r="4" spans="1:12" ht="12" customHeight="1" x14ac:dyDescent="0.2">
      <c r="A4" s="905"/>
      <c r="B4" s="905"/>
      <c r="C4" s="905"/>
      <c r="D4" s="589"/>
      <c r="E4" s="589"/>
      <c r="F4" s="108"/>
      <c r="G4" s="906"/>
      <c r="H4" s="906"/>
      <c r="J4" s="497"/>
      <c r="K4" s="497" t="s">
        <v>281</v>
      </c>
      <c r="L4" s="497"/>
    </row>
    <row r="5" spans="1:12" ht="12" customHeight="1" x14ac:dyDescent="0.2">
      <c r="A5" s="864" t="s">
        <v>3</v>
      </c>
      <c r="B5" s="864"/>
      <c r="C5" s="864"/>
      <c r="D5" s="864"/>
      <c r="E5" s="864"/>
      <c r="F5" s="864"/>
      <c r="G5" s="864" t="s">
        <v>4</v>
      </c>
      <c r="H5" s="864"/>
      <c r="I5" s="864"/>
      <c r="J5" s="864"/>
      <c r="K5" s="864"/>
      <c r="L5" s="35"/>
    </row>
    <row r="6" spans="1:12" x14ac:dyDescent="0.2">
      <c r="A6" s="843" t="s">
        <v>50</v>
      </c>
      <c r="B6" s="844"/>
      <c r="C6" s="845"/>
      <c r="D6" s="692" t="s">
        <v>280</v>
      </c>
      <c r="E6" s="693"/>
      <c r="F6" s="694"/>
      <c r="G6" s="843" t="s">
        <v>50</v>
      </c>
      <c r="H6" s="845"/>
      <c r="I6" s="864" t="s">
        <v>280</v>
      </c>
      <c r="J6" s="864"/>
      <c r="K6" s="864"/>
      <c r="L6" s="35"/>
    </row>
    <row r="7" spans="1:12" x14ac:dyDescent="0.2">
      <c r="A7" s="846"/>
      <c r="B7" s="847"/>
      <c r="C7" s="848"/>
      <c r="D7" s="529">
        <v>2015</v>
      </c>
      <c r="E7" s="529">
        <v>2016</v>
      </c>
      <c r="F7" s="529">
        <v>2017</v>
      </c>
      <c r="G7" s="846"/>
      <c r="H7" s="848"/>
      <c r="I7" s="529">
        <v>2015</v>
      </c>
      <c r="J7" s="529">
        <v>2016</v>
      </c>
      <c r="K7" s="529">
        <v>2017</v>
      </c>
      <c r="L7" s="35"/>
    </row>
    <row r="8" spans="1:12" ht="12" customHeight="1" x14ac:dyDescent="0.2">
      <c r="A8" s="889" t="s">
        <v>279</v>
      </c>
      <c r="B8" s="899"/>
      <c r="C8" s="890"/>
      <c r="D8" s="46">
        <v>0</v>
      </c>
      <c r="E8" s="46"/>
      <c r="F8" s="46"/>
      <c r="G8" s="889" t="s">
        <v>278</v>
      </c>
      <c r="H8" s="890"/>
      <c r="I8" s="46">
        <f>392428-15625</f>
        <v>376803</v>
      </c>
      <c r="J8" s="46">
        <f t="shared" ref="J8:K10" si="0">+I8*1.025</f>
        <v>386223.07499999995</v>
      </c>
      <c r="K8" s="46">
        <f t="shared" si="0"/>
        <v>395878.65187499992</v>
      </c>
      <c r="L8" s="164"/>
    </row>
    <row r="9" spans="1:12" ht="12" customHeight="1" x14ac:dyDescent="0.2">
      <c r="A9" s="889" t="s">
        <v>277</v>
      </c>
      <c r="B9" s="899"/>
      <c r="C9" s="890"/>
      <c r="D9" s="46"/>
      <c r="E9" s="46"/>
      <c r="F9" s="46"/>
      <c r="G9" s="888" t="s">
        <v>276</v>
      </c>
      <c r="H9" s="888"/>
      <c r="I9" s="46">
        <f>810+107300</f>
        <v>108110</v>
      </c>
      <c r="J9" s="46">
        <f t="shared" si="0"/>
        <v>110812.74999999999</v>
      </c>
      <c r="K9" s="46">
        <f t="shared" si="0"/>
        <v>113583.06874999998</v>
      </c>
      <c r="L9" s="164"/>
    </row>
    <row r="10" spans="1:12" ht="12" customHeight="1" x14ac:dyDescent="0.2">
      <c r="A10" s="889" t="s">
        <v>275</v>
      </c>
      <c r="B10" s="899"/>
      <c r="C10" s="890"/>
      <c r="D10" s="46">
        <v>600000</v>
      </c>
      <c r="E10" s="46">
        <f>+D10*1.02</f>
        <v>612000</v>
      </c>
      <c r="F10" s="46">
        <f>+E10*1.02</f>
        <v>624240</v>
      </c>
      <c r="G10" s="888" t="s">
        <v>274</v>
      </c>
      <c r="H10" s="888"/>
      <c r="I10" s="46">
        <f>565603+10000</f>
        <v>575603</v>
      </c>
      <c r="J10" s="46">
        <f t="shared" si="0"/>
        <v>589993.07499999995</v>
      </c>
      <c r="K10" s="46">
        <f t="shared" si="0"/>
        <v>604742.90187499986</v>
      </c>
      <c r="L10" s="164"/>
    </row>
    <row r="11" spans="1:12" ht="12" customHeight="1" x14ac:dyDescent="0.2">
      <c r="A11" s="889" t="s">
        <v>273</v>
      </c>
      <c r="B11" s="899"/>
      <c r="C11" s="890"/>
      <c r="D11" s="46"/>
      <c r="E11" s="46"/>
      <c r="F11" s="46"/>
      <c r="G11" s="888" t="s">
        <v>272</v>
      </c>
      <c r="H11" s="888"/>
      <c r="I11" s="46"/>
      <c r="J11" s="46"/>
      <c r="K11" s="46"/>
      <c r="L11" s="164"/>
    </row>
    <row r="12" spans="1:12" ht="12" customHeight="1" x14ac:dyDescent="0.2">
      <c r="A12" s="888"/>
      <c r="B12" s="888"/>
      <c r="C12" s="888"/>
      <c r="D12" s="46"/>
      <c r="E12" s="46"/>
      <c r="F12" s="46"/>
      <c r="G12" s="888" t="s">
        <v>271</v>
      </c>
      <c r="H12" s="888"/>
      <c r="I12" s="46"/>
      <c r="J12" s="46"/>
      <c r="K12" s="46"/>
      <c r="L12" s="164"/>
    </row>
    <row r="13" spans="1:12" ht="12" customHeight="1" x14ac:dyDescent="0.2">
      <c r="A13" s="902"/>
      <c r="B13" s="902"/>
      <c r="C13" s="902"/>
      <c r="D13" s="46"/>
      <c r="E13" s="46"/>
      <c r="F13" s="46"/>
      <c r="G13" s="900" t="s">
        <v>270</v>
      </c>
      <c r="H13" s="901"/>
      <c r="I13" s="46"/>
      <c r="J13" s="46"/>
      <c r="K13" s="46"/>
      <c r="L13" s="164"/>
    </row>
    <row r="14" spans="1:12" ht="12" customHeight="1" x14ac:dyDescent="0.2">
      <c r="A14" s="903"/>
      <c r="B14" s="903"/>
      <c r="C14" s="903"/>
      <c r="D14" s="46"/>
      <c r="E14" s="46"/>
      <c r="F14" s="46"/>
      <c r="G14" s="889" t="s">
        <v>269</v>
      </c>
      <c r="H14" s="890"/>
      <c r="I14" s="46"/>
      <c r="J14" s="46"/>
      <c r="K14" s="46"/>
      <c r="L14" s="164"/>
    </row>
    <row r="15" spans="1:12" s="107" customFormat="1" ht="23.25" customHeight="1" x14ac:dyDescent="0.2">
      <c r="A15" s="894" t="s">
        <v>268</v>
      </c>
      <c r="B15" s="904"/>
      <c r="C15" s="895"/>
      <c r="D15" s="47">
        <f>SUM(D8:D11)</f>
        <v>600000</v>
      </c>
      <c r="E15" s="47">
        <f>SUM(E8:E11)</f>
        <v>612000</v>
      </c>
      <c r="F15" s="47">
        <f>SUM(F8:F11)</f>
        <v>624240</v>
      </c>
      <c r="G15" s="894" t="s">
        <v>267</v>
      </c>
      <c r="H15" s="895"/>
      <c r="I15" s="47">
        <f>SUM(I8:I12)</f>
        <v>1060516</v>
      </c>
      <c r="J15" s="47">
        <f>SUM(J8:J12)</f>
        <v>1087028.8999999999</v>
      </c>
      <c r="K15" s="47">
        <f>SUM(K8:K12)</f>
        <v>1114204.6224999998</v>
      </c>
      <c r="L15" s="114"/>
    </row>
    <row r="16" spans="1:12" ht="12" customHeight="1" x14ac:dyDescent="0.2">
      <c r="A16" s="889"/>
      <c r="B16" s="899"/>
      <c r="C16" s="890"/>
      <c r="D16" s="46"/>
      <c r="E16" s="46"/>
      <c r="F16" s="46"/>
      <c r="G16" s="889"/>
      <c r="H16" s="890"/>
      <c r="I16" s="41"/>
      <c r="J16" s="41"/>
      <c r="K16" s="40"/>
      <c r="L16" s="164"/>
    </row>
    <row r="17" spans="1:12" ht="12" customHeight="1" x14ac:dyDescent="0.2">
      <c r="A17" s="889" t="s">
        <v>253</v>
      </c>
      <c r="B17" s="899"/>
      <c r="C17" s="890"/>
      <c r="D17" s="46"/>
      <c r="E17" s="46"/>
      <c r="F17" s="46"/>
      <c r="G17" s="889" t="s">
        <v>266</v>
      </c>
      <c r="H17" s="890"/>
      <c r="I17" s="40"/>
      <c r="J17" s="40"/>
      <c r="K17" s="40"/>
    </row>
    <row r="18" spans="1:12" ht="12" customHeight="1" x14ac:dyDescent="0.2">
      <c r="A18" s="887" t="s">
        <v>251</v>
      </c>
      <c r="B18" s="887"/>
      <c r="C18" s="887"/>
      <c r="D18" s="46"/>
      <c r="E18" s="46"/>
      <c r="F18" s="46"/>
      <c r="G18" s="887" t="s">
        <v>250</v>
      </c>
      <c r="H18" s="887"/>
      <c r="I18" s="40"/>
      <c r="J18" s="40"/>
      <c r="K18" s="40"/>
    </row>
    <row r="19" spans="1:12" ht="12" customHeight="1" x14ac:dyDescent="0.2">
      <c r="A19" s="887" t="s">
        <v>249</v>
      </c>
      <c r="B19" s="887"/>
      <c r="C19" s="887"/>
      <c r="D19" s="46"/>
      <c r="E19" s="46"/>
      <c r="F19" s="46"/>
      <c r="G19" s="887" t="s">
        <v>265</v>
      </c>
      <c r="H19" s="887"/>
      <c r="I19" s="40"/>
      <c r="J19" s="40"/>
      <c r="K19" s="40"/>
    </row>
    <row r="20" spans="1:12" ht="12" customHeight="1" x14ac:dyDescent="0.2">
      <c r="A20" s="888" t="s">
        <v>247</v>
      </c>
      <c r="B20" s="888"/>
      <c r="C20" s="888"/>
      <c r="D20" s="46"/>
      <c r="E20" s="46"/>
      <c r="F20" s="46"/>
      <c r="G20" s="887" t="s">
        <v>246</v>
      </c>
      <c r="H20" s="887"/>
      <c r="I20" s="40"/>
      <c r="J20" s="40"/>
      <c r="K20" s="40"/>
    </row>
    <row r="21" spans="1:12" ht="12" customHeight="1" x14ac:dyDescent="0.2">
      <c r="A21" s="888" t="s">
        <v>245</v>
      </c>
      <c r="B21" s="888"/>
      <c r="C21" s="888"/>
      <c r="D21" s="46"/>
      <c r="E21" s="46"/>
      <c r="F21" s="46"/>
      <c r="G21" s="887" t="s">
        <v>244</v>
      </c>
      <c r="H21" s="887"/>
      <c r="I21" s="40"/>
      <c r="J21" s="40"/>
      <c r="K21" s="40"/>
    </row>
    <row r="22" spans="1:12" ht="12" customHeight="1" x14ac:dyDescent="0.2">
      <c r="A22" s="887" t="s">
        <v>243</v>
      </c>
      <c r="B22" s="887"/>
      <c r="C22" s="887"/>
      <c r="D22" s="46">
        <f>+I26-D15</f>
        <v>460516</v>
      </c>
      <c r="E22" s="46">
        <f>+J26-E15</f>
        <v>475028.89999999991</v>
      </c>
      <c r="F22" s="46">
        <f>+K26-F15</f>
        <v>489964.62249999982</v>
      </c>
      <c r="G22" s="887" t="s">
        <v>242</v>
      </c>
      <c r="H22" s="887"/>
      <c r="I22" s="40"/>
      <c r="J22" s="40"/>
      <c r="K22" s="40"/>
    </row>
    <row r="23" spans="1:12" ht="12" customHeight="1" x14ac:dyDescent="0.2">
      <c r="A23" s="891"/>
      <c r="B23" s="891"/>
      <c r="C23" s="891"/>
      <c r="D23" s="46"/>
      <c r="E23" s="46"/>
      <c r="F23" s="46"/>
      <c r="G23" s="887" t="s">
        <v>241</v>
      </c>
      <c r="H23" s="887"/>
      <c r="I23" s="40"/>
      <c r="J23" s="40"/>
      <c r="K23" s="40"/>
    </row>
    <row r="24" spans="1:12" ht="12" customHeight="1" x14ac:dyDescent="0.2">
      <c r="A24" s="902" t="s">
        <v>264</v>
      </c>
      <c r="B24" s="902"/>
      <c r="C24" s="902"/>
      <c r="D24" s="47">
        <f>SUM(D17:D22)</f>
        <v>460516</v>
      </c>
      <c r="E24" s="47">
        <f>SUM(E17:E22)</f>
        <v>475028.89999999991</v>
      </c>
      <c r="F24" s="47">
        <f>SUM(F17:F22)</f>
        <v>489964.62249999982</v>
      </c>
      <c r="G24" s="894" t="s">
        <v>263</v>
      </c>
      <c r="H24" s="895"/>
      <c r="I24" s="42">
        <f>SUM(I17:I23)</f>
        <v>0</v>
      </c>
      <c r="J24" s="42">
        <f>SUM(J17:J23)</f>
        <v>0</v>
      </c>
      <c r="K24" s="42">
        <f>SUM(K17:K23)</f>
        <v>0</v>
      </c>
      <c r="L24" s="164"/>
    </row>
    <row r="25" spans="1:12" ht="12" customHeight="1" x14ac:dyDescent="0.2">
      <c r="A25" s="903"/>
      <c r="B25" s="903"/>
      <c r="C25" s="903"/>
      <c r="D25" s="47"/>
      <c r="E25" s="47"/>
      <c r="F25" s="47"/>
      <c r="G25" s="892"/>
      <c r="H25" s="893"/>
      <c r="I25" s="40"/>
      <c r="J25" s="40"/>
      <c r="K25" s="40"/>
      <c r="L25" s="164"/>
    </row>
    <row r="26" spans="1:12" ht="12" customHeight="1" x14ac:dyDescent="0.2">
      <c r="A26" s="902" t="s">
        <v>262</v>
      </c>
      <c r="B26" s="902"/>
      <c r="C26" s="902"/>
      <c r="D26" s="47">
        <f>+D15+D24</f>
        <v>1060516</v>
      </c>
      <c r="E26" s="47">
        <f>+E15+E24</f>
        <v>1087028.8999999999</v>
      </c>
      <c r="F26" s="47">
        <f>+F15+F24</f>
        <v>1114204.6224999998</v>
      </c>
      <c r="G26" s="894" t="s">
        <v>261</v>
      </c>
      <c r="H26" s="895"/>
      <c r="I26" s="47">
        <f>+I15+I24</f>
        <v>1060516</v>
      </c>
      <c r="J26" s="47">
        <f>+J15+J24</f>
        <v>1087028.8999999999</v>
      </c>
      <c r="K26" s="47">
        <f>+K15+K24</f>
        <v>1114204.6224999998</v>
      </c>
      <c r="L26" s="164"/>
    </row>
    <row r="27" spans="1:12" ht="12" customHeight="1" x14ac:dyDescent="0.2">
      <c r="A27" s="888"/>
      <c r="B27" s="888"/>
      <c r="C27" s="888"/>
      <c r="D27" s="47"/>
      <c r="E27" s="47"/>
      <c r="F27" s="47"/>
      <c r="G27" s="889"/>
      <c r="H27" s="890"/>
      <c r="I27" s="46"/>
      <c r="J27" s="46"/>
      <c r="K27" s="46"/>
      <c r="L27" s="164"/>
    </row>
    <row r="28" spans="1:12" ht="12.75" customHeight="1" x14ac:dyDescent="0.2">
      <c r="A28" s="889" t="s">
        <v>260</v>
      </c>
      <c r="B28" s="899"/>
      <c r="C28" s="890"/>
      <c r="D28" s="46"/>
      <c r="E28" s="46"/>
      <c r="F28" s="46"/>
      <c r="G28" s="889" t="s">
        <v>259</v>
      </c>
      <c r="H28" s="890"/>
      <c r="I28" s="46">
        <v>4000</v>
      </c>
      <c r="J28" s="46">
        <v>5000</v>
      </c>
      <c r="K28" s="46">
        <v>4500</v>
      </c>
      <c r="L28" s="164"/>
    </row>
    <row r="29" spans="1:12" ht="12" customHeight="1" x14ac:dyDescent="0.2">
      <c r="A29" s="889" t="s">
        <v>258</v>
      </c>
      <c r="B29" s="899"/>
      <c r="C29" s="890"/>
      <c r="D29" s="46"/>
      <c r="E29" s="46"/>
      <c r="F29" s="46"/>
      <c r="G29" s="889" t="s">
        <v>198</v>
      </c>
      <c r="H29" s="890"/>
      <c r="I29" s="46">
        <v>5000</v>
      </c>
      <c r="J29" s="46">
        <v>4000</v>
      </c>
      <c r="K29" s="46">
        <v>4500</v>
      </c>
      <c r="L29" s="164"/>
    </row>
    <row r="30" spans="1:12" ht="12" customHeight="1" x14ac:dyDescent="0.2">
      <c r="A30" s="888" t="s">
        <v>257</v>
      </c>
      <c r="B30" s="888"/>
      <c r="C30" s="888"/>
      <c r="D30" s="46"/>
      <c r="E30" s="46"/>
      <c r="F30" s="46"/>
      <c r="G30" s="889" t="s">
        <v>256</v>
      </c>
      <c r="H30" s="890"/>
      <c r="I30" s="46"/>
      <c r="J30" s="46"/>
      <c r="K30" s="46"/>
      <c r="L30" s="164"/>
    </row>
    <row r="31" spans="1:12" ht="24" customHeight="1" x14ac:dyDescent="0.2">
      <c r="A31" s="894" t="s">
        <v>255</v>
      </c>
      <c r="B31" s="904"/>
      <c r="C31" s="895"/>
      <c r="D31" s="46">
        <f>SUM(D28:D30)</f>
        <v>0</v>
      </c>
      <c r="E31" s="46">
        <f>SUM(E28:E30)</f>
        <v>0</v>
      </c>
      <c r="F31" s="46">
        <f>SUM(F28:F30)</f>
        <v>0</v>
      </c>
      <c r="G31" s="894" t="s">
        <v>254</v>
      </c>
      <c r="H31" s="895"/>
      <c r="I31" s="47">
        <f>SUM(I28:I30)</f>
        <v>9000</v>
      </c>
      <c r="J31" s="47">
        <f>SUM(J28:J30)</f>
        <v>9000</v>
      </c>
      <c r="K31" s="47">
        <f>SUM(K28:K30)</f>
        <v>9000</v>
      </c>
      <c r="L31" s="164"/>
    </row>
    <row r="32" spans="1:12" ht="12" customHeight="1" x14ac:dyDescent="0.2">
      <c r="A32" s="888"/>
      <c r="B32" s="888"/>
      <c r="C32" s="888"/>
      <c r="D32" s="46"/>
      <c r="E32" s="46"/>
      <c r="F32" s="46"/>
      <c r="G32" s="889"/>
      <c r="H32" s="890"/>
      <c r="I32" s="46"/>
      <c r="J32" s="46"/>
      <c r="K32" s="46"/>
      <c r="L32" s="164"/>
    </row>
    <row r="33" spans="1:12" ht="12" customHeight="1" x14ac:dyDescent="0.2">
      <c r="A33" s="889" t="s">
        <v>253</v>
      </c>
      <c r="B33" s="899"/>
      <c r="C33" s="890"/>
      <c r="D33" s="46"/>
      <c r="E33" s="46"/>
      <c r="F33" s="46"/>
      <c r="G33" s="889" t="s">
        <v>252</v>
      </c>
      <c r="H33" s="890"/>
      <c r="I33" s="46"/>
      <c r="J33" s="46"/>
      <c r="K33" s="46"/>
    </row>
    <row r="34" spans="1:12" ht="12" customHeight="1" x14ac:dyDescent="0.2">
      <c r="A34" s="887" t="s">
        <v>251</v>
      </c>
      <c r="B34" s="887"/>
      <c r="C34" s="887"/>
      <c r="D34" s="46"/>
      <c r="E34" s="46"/>
      <c r="F34" s="46"/>
      <c r="G34" s="887" t="s">
        <v>250</v>
      </c>
      <c r="H34" s="887"/>
      <c r="I34" s="46"/>
      <c r="J34" s="46"/>
      <c r="K34" s="46"/>
    </row>
    <row r="35" spans="1:12" ht="12" customHeight="1" x14ac:dyDescent="0.2">
      <c r="A35" s="887" t="s">
        <v>249</v>
      </c>
      <c r="B35" s="887"/>
      <c r="C35" s="887"/>
      <c r="D35" s="46"/>
      <c r="E35" s="46"/>
      <c r="F35" s="46"/>
      <c r="G35" s="889" t="s">
        <v>248</v>
      </c>
      <c r="H35" s="890"/>
      <c r="I35" s="46"/>
      <c r="J35" s="46"/>
      <c r="K35" s="46"/>
    </row>
    <row r="36" spans="1:12" ht="12" customHeight="1" x14ac:dyDescent="0.2">
      <c r="A36" s="888" t="s">
        <v>247</v>
      </c>
      <c r="B36" s="888"/>
      <c r="C36" s="888"/>
      <c r="D36" s="46"/>
      <c r="E36" s="46"/>
      <c r="F36" s="46"/>
      <c r="G36" s="889" t="s">
        <v>246</v>
      </c>
      <c r="H36" s="890"/>
      <c r="I36" s="46"/>
      <c r="J36" s="46"/>
      <c r="K36" s="46"/>
    </row>
    <row r="37" spans="1:12" ht="12" customHeight="1" x14ac:dyDescent="0.2">
      <c r="A37" s="888" t="s">
        <v>245</v>
      </c>
      <c r="B37" s="888"/>
      <c r="C37" s="888"/>
      <c r="D37" s="46"/>
      <c r="E37" s="46"/>
      <c r="F37" s="46"/>
      <c r="G37" s="887" t="s">
        <v>244</v>
      </c>
      <c r="H37" s="887"/>
      <c r="I37" s="46"/>
      <c r="J37" s="46"/>
      <c r="K37" s="46"/>
    </row>
    <row r="38" spans="1:12" ht="12" customHeight="1" x14ac:dyDescent="0.2">
      <c r="A38" s="887" t="s">
        <v>243</v>
      </c>
      <c r="B38" s="887"/>
      <c r="C38" s="887"/>
      <c r="D38" s="46">
        <f>+I31</f>
        <v>9000</v>
      </c>
      <c r="E38" s="46">
        <f>+J31</f>
        <v>9000</v>
      </c>
      <c r="F38" s="46">
        <f>+K31</f>
        <v>9000</v>
      </c>
      <c r="G38" s="887" t="s">
        <v>242</v>
      </c>
      <c r="H38" s="887"/>
      <c r="I38" s="46"/>
      <c r="J38" s="46"/>
      <c r="K38" s="46"/>
    </row>
    <row r="39" spans="1:12" ht="12" customHeight="1" x14ac:dyDescent="0.2">
      <c r="A39" s="891"/>
      <c r="B39" s="891"/>
      <c r="C39" s="891"/>
      <c r="D39" s="46"/>
      <c r="E39" s="46"/>
      <c r="F39" s="46"/>
      <c r="G39" s="887" t="s">
        <v>241</v>
      </c>
      <c r="H39" s="887"/>
      <c r="I39" s="46"/>
      <c r="J39" s="46"/>
      <c r="K39" s="46"/>
    </row>
    <row r="40" spans="1:12" ht="12" customHeight="1" x14ac:dyDescent="0.2">
      <c r="A40" s="894" t="s">
        <v>240</v>
      </c>
      <c r="B40" s="904"/>
      <c r="C40" s="895"/>
      <c r="D40" s="47">
        <f>SUM(D33:D38)</f>
        <v>9000</v>
      </c>
      <c r="E40" s="47">
        <f>SUM(E33:E38)</f>
        <v>9000</v>
      </c>
      <c r="F40" s="47">
        <f>SUM(F33:F38)</f>
        <v>9000</v>
      </c>
      <c r="G40" s="894" t="s">
        <v>239</v>
      </c>
      <c r="H40" s="895"/>
      <c r="I40" s="46">
        <f>SUM(I33:I39)</f>
        <v>0</v>
      </c>
      <c r="J40" s="46">
        <f>SUM(J33:J39)</f>
        <v>0</v>
      </c>
      <c r="K40" s="46">
        <f>SUM(K33:K39)</f>
        <v>0</v>
      </c>
      <c r="L40" s="164"/>
    </row>
    <row r="41" spans="1:12" ht="12" customHeight="1" x14ac:dyDescent="0.2">
      <c r="A41" s="888"/>
      <c r="B41" s="888"/>
      <c r="C41" s="888"/>
      <c r="D41" s="47"/>
      <c r="E41" s="47"/>
      <c r="F41" s="47"/>
      <c r="G41" s="889"/>
      <c r="H41" s="890"/>
      <c r="I41" s="46"/>
      <c r="J41" s="46"/>
      <c r="K41" s="46"/>
      <c r="L41" s="164"/>
    </row>
    <row r="42" spans="1:12" ht="12.75" customHeight="1" x14ac:dyDescent="0.2">
      <c r="A42" s="902" t="s">
        <v>238</v>
      </c>
      <c r="B42" s="902"/>
      <c r="C42" s="902"/>
      <c r="D42" s="47">
        <f>+D31+D40</f>
        <v>9000</v>
      </c>
      <c r="E42" s="47">
        <f>+E31+E40</f>
        <v>9000</v>
      </c>
      <c r="F42" s="47">
        <f>+F31+F40</f>
        <v>9000</v>
      </c>
      <c r="G42" s="894" t="s">
        <v>237</v>
      </c>
      <c r="H42" s="895"/>
      <c r="I42" s="47">
        <f>+I31+I40</f>
        <v>9000</v>
      </c>
      <c r="J42" s="47">
        <f>+J31+J40</f>
        <v>9000</v>
      </c>
      <c r="K42" s="47">
        <f>+K31+K40</f>
        <v>9000</v>
      </c>
      <c r="L42" s="164"/>
    </row>
    <row r="43" spans="1:12" ht="12" customHeight="1" x14ac:dyDescent="0.2">
      <c r="A43" s="888"/>
      <c r="B43" s="888"/>
      <c r="C43" s="888"/>
      <c r="D43" s="47"/>
      <c r="E43" s="47"/>
      <c r="F43" s="47"/>
      <c r="G43" s="897"/>
      <c r="H43" s="898"/>
      <c r="I43" s="47"/>
      <c r="J43" s="47"/>
      <c r="K43" s="47"/>
      <c r="L43" s="164"/>
    </row>
    <row r="44" spans="1:12" ht="12.75" customHeight="1" x14ac:dyDescent="0.2">
      <c r="A44" s="896" t="s">
        <v>236</v>
      </c>
      <c r="B44" s="896"/>
      <c r="C44" s="896"/>
      <c r="D44" s="47">
        <f>+D26+D42</f>
        <v>1069516</v>
      </c>
      <c r="E44" s="47">
        <f>+E26+E42</f>
        <v>1096028.8999999999</v>
      </c>
      <c r="F44" s="47">
        <f>+F26+F42</f>
        <v>1123204.6224999998</v>
      </c>
      <c r="G44" s="896" t="s">
        <v>235</v>
      </c>
      <c r="H44" s="896"/>
      <c r="I44" s="47">
        <f>+I26+I42</f>
        <v>1069516</v>
      </c>
      <c r="J44" s="47">
        <f>+J26+J42</f>
        <v>1096028.8999999999</v>
      </c>
      <c r="K44" s="47">
        <f>+K26+K42</f>
        <v>1123204.6224999998</v>
      </c>
      <c r="L44" s="164"/>
    </row>
    <row r="46" spans="1:12" x14ac:dyDescent="0.2">
      <c r="D46" s="117"/>
      <c r="E46" s="117"/>
      <c r="F46" s="117"/>
    </row>
  </sheetData>
  <mergeCells count="83">
    <mergeCell ref="A44:C44"/>
    <mergeCell ref="G44:H44"/>
    <mergeCell ref="A41:C41"/>
    <mergeCell ref="G41:H41"/>
    <mergeCell ref="A42:C42"/>
    <mergeCell ref="G42:H42"/>
    <mergeCell ref="A43:C43"/>
    <mergeCell ref="G43:H43"/>
    <mergeCell ref="A38:C38"/>
    <mergeCell ref="G38:H38"/>
    <mergeCell ref="A39:C39"/>
    <mergeCell ref="G39:H39"/>
    <mergeCell ref="A40:C40"/>
    <mergeCell ref="G40:H40"/>
    <mergeCell ref="A35:C35"/>
    <mergeCell ref="G35:H35"/>
    <mergeCell ref="A36:C36"/>
    <mergeCell ref="G36:H36"/>
    <mergeCell ref="A37:C37"/>
    <mergeCell ref="G37:H37"/>
    <mergeCell ref="A32:C32"/>
    <mergeCell ref="G32:H32"/>
    <mergeCell ref="A33:C33"/>
    <mergeCell ref="G33:H33"/>
    <mergeCell ref="A34:C34"/>
    <mergeCell ref="G34:H34"/>
    <mergeCell ref="A29:C29"/>
    <mergeCell ref="G29:H29"/>
    <mergeCell ref="A30:C30"/>
    <mergeCell ref="G30:H30"/>
    <mergeCell ref="A31:C31"/>
    <mergeCell ref="G31:H31"/>
    <mergeCell ref="A26:C26"/>
    <mergeCell ref="G26:H26"/>
    <mergeCell ref="A27:C27"/>
    <mergeCell ref="G27:H27"/>
    <mergeCell ref="A28:C28"/>
    <mergeCell ref="G28:H28"/>
    <mergeCell ref="A23:C23"/>
    <mergeCell ref="G23:H23"/>
    <mergeCell ref="A24:C24"/>
    <mergeCell ref="G24:H24"/>
    <mergeCell ref="A25:C25"/>
    <mergeCell ref="G25:H25"/>
    <mergeCell ref="A20:C20"/>
    <mergeCell ref="G20:H20"/>
    <mergeCell ref="A21:C21"/>
    <mergeCell ref="G21:H21"/>
    <mergeCell ref="A22:C22"/>
    <mergeCell ref="G22:H22"/>
    <mergeCell ref="A17:C17"/>
    <mergeCell ref="G17:H17"/>
    <mergeCell ref="A18:C18"/>
    <mergeCell ref="G18:H18"/>
    <mergeCell ref="A19:C19"/>
    <mergeCell ref="G19:H19"/>
    <mergeCell ref="A14:C14"/>
    <mergeCell ref="G14:H14"/>
    <mergeCell ref="A15:C15"/>
    <mergeCell ref="G15:H15"/>
    <mergeCell ref="A16:C16"/>
    <mergeCell ref="G16:H16"/>
    <mergeCell ref="A11:C11"/>
    <mergeCell ref="G11:H11"/>
    <mergeCell ref="A12:C12"/>
    <mergeCell ref="G12:H12"/>
    <mergeCell ref="A13:C13"/>
    <mergeCell ref="G13:H13"/>
    <mergeCell ref="A8:C8"/>
    <mergeCell ref="G8:H8"/>
    <mergeCell ref="A9:C9"/>
    <mergeCell ref="G9:H9"/>
    <mergeCell ref="A10:C10"/>
    <mergeCell ref="G10:H10"/>
    <mergeCell ref="A6:C7"/>
    <mergeCell ref="D6:F6"/>
    <mergeCell ref="G6:H7"/>
    <mergeCell ref="I6:K6"/>
    <mergeCell ref="A3:K3"/>
    <mergeCell ref="A4:C4"/>
    <mergeCell ref="G4:H4"/>
    <mergeCell ref="A5:F5"/>
    <mergeCell ref="G5:K5"/>
  </mergeCells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K1" sqref="K1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258" width="9.140625" style="105"/>
    <col min="259" max="259" width="20" style="105" customWidth="1"/>
    <col min="260" max="262" width="10.7109375" style="105" customWidth="1"/>
    <col min="263" max="263" width="6.5703125" style="105" customWidth="1"/>
    <col min="264" max="264" width="32.5703125" style="105" customWidth="1"/>
    <col min="265" max="267" width="10.7109375" style="105" customWidth="1"/>
    <col min="268" max="268" width="15.140625" style="105" customWidth="1"/>
    <col min="269" max="514" width="9.140625" style="105"/>
    <col min="515" max="515" width="20" style="105" customWidth="1"/>
    <col min="516" max="518" width="10.7109375" style="105" customWidth="1"/>
    <col min="519" max="519" width="6.5703125" style="105" customWidth="1"/>
    <col min="520" max="520" width="32.5703125" style="105" customWidth="1"/>
    <col min="521" max="523" width="10.7109375" style="105" customWidth="1"/>
    <col min="524" max="524" width="15.140625" style="105" customWidth="1"/>
    <col min="525" max="770" width="9.140625" style="105"/>
    <col min="771" max="771" width="20" style="105" customWidth="1"/>
    <col min="772" max="774" width="10.7109375" style="105" customWidth="1"/>
    <col min="775" max="775" width="6.5703125" style="105" customWidth="1"/>
    <col min="776" max="776" width="32.5703125" style="105" customWidth="1"/>
    <col min="777" max="779" width="10.7109375" style="105" customWidth="1"/>
    <col min="780" max="780" width="15.140625" style="105" customWidth="1"/>
    <col min="781" max="1026" width="9.140625" style="105"/>
    <col min="1027" max="1027" width="20" style="105" customWidth="1"/>
    <col min="1028" max="1030" width="10.7109375" style="105" customWidth="1"/>
    <col min="1031" max="1031" width="6.5703125" style="105" customWidth="1"/>
    <col min="1032" max="1032" width="32.5703125" style="105" customWidth="1"/>
    <col min="1033" max="1035" width="10.7109375" style="105" customWidth="1"/>
    <col min="1036" max="1036" width="15.140625" style="105" customWidth="1"/>
    <col min="1037" max="1282" width="9.140625" style="105"/>
    <col min="1283" max="1283" width="20" style="105" customWidth="1"/>
    <col min="1284" max="1286" width="10.7109375" style="105" customWidth="1"/>
    <col min="1287" max="1287" width="6.5703125" style="105" customWidth="1"/>
    <col min="1288" max="1288" width="32.5703125" style="105" customWidth="1"/>
    <col min="1289" max="1291" width="10.7109375" style="105" customWidth="1"/>
    <col min="1292" max="1292" width="15.140625" style="105" customWidth="1"/>
    <col min="1293" max="1538" width="9.140625" style="105"/>
    <col min="1539" max="1539" width="20" style="105" customWidth="1"/>
    <col min="1540" max="1542" width="10.7109375" style="105" customWidth="1"/>
    <col min="1543" max="1543" width="6.5703125" style="105" customWidth="1"/>
    <col min="1544" max="1544" width="32.5703125" style="105" customWidth="1"/>
    <col min="1545" max="1547" width="10.7109375" style="105" customWidth="1"/>
    <col min="1548" max="1548" width="15.140625" style="105" customWidth="1"/>
    <col min="1549" max="1794" width="9.140625" style="105"/>
    <col min="1795" max="1795" width="20" style="105" customWidth="1"/>
    <col min="1796" max="1798" width="10.7109375" style="105" customWidth="1"/>
    <col min="1799" max="1799" width="6.5703125" style="105" customWidth="1"/>
    <col min="1800" max="1800" width="32.5703125" style="105" customWidth="1"/>
    <col min="1801" max="1803" width="10.7109375" style="105" customWidth="1"/>
    <col min="1804" max="1804" width="15.140625" style="105" customWidth="1"/>
    <col min="1805" max="2050" width="9.140625" style="105"/>
    <col min="2051" max="2051" width="20" style="105" customWidth="1"/>
    <col min="2052" max="2054" width="10.7109375" style="105" customWidth="1"/>
    <col min="2055" max="2055" width="6.5703125" style="105" customWidth="1"/>
    <col min="2056" max="2056" width="32.5703125" style="105" customWidth="1"/>
    <col min="2057" max="2059" width="10.7109375" style="105" customWidth="1"/>
    <col min="2060" max="2060" width="15.140625" style="105" customWidth="1"/>
    <col min="2061" max="2306" width="9.140625" style="105"/>
    <col min="2307" max="2307" width="20" style="105" customWidth="1"/>
    <col min="2308" max="2310" width="10.7109375" style="105" customWidth="1"/>
    <col min="2311" max="2311" width="6.5703125" style="105" customWidth="1"/>
    <col min="2312" max="2312" width="32.5703125" style="105" customWidth="1"/>
    <col min="2313" max="2315" width="10.7109375" style="105" customWidth="1"/>
    <col min="2316" max="2316" width="15.140625" style="105" customWidth="1"/>
    <col min="2317" max="2562" width="9.140625" style="105"/>
    <col min="2563" max="2563" width="20" style="105" customWidth="1"/>
    <col min="2564" max="2566" width="10.7109375" style="105" customWidth="1"/>
    <col min="2567" max="2567" width="6.5703125" style="105" customWidth="1"/>
    <col min="2568" max="2568" width="32.5703125" style="105" customWidth="1"/>
    <col min="2569" max="2571" width="10.7109375" style="105" customWidth="1"/>
    <col min="2572" max="2572" width="15.140625" style="105" customWidth="1"/>
    <col min="2573" max="2818" width="9.140625" style="105"/>
    <col min="2819" max="2819" width="20" style="105" customWidth="1"/>
    <col min="2820" max="2822" width="10.7109375" style="105" customWidth="1"/>
    <col min="2823" max="2823" width="6.5703125" style="105" customWidth="1"/>
    <col min="2824" max="2824" width="32.5703125" style="105" customWidth="1"/>
    <col min="2825" max="2827" width="10.7109375" style="105" customWidth="1"/>
    <col min="2828" max="2828" width="15.140625" style="105" customWidth="1"/>
    <col min="2829" max="3074" width="9.140625" style="105"/>
    <col min="3075" max="3075" width="20" style="105" customWidth="1"/>
    <col min="3076" max="3078" width="10.7109375" style="105" customWidth="1"/>
    <col min="3079" max="3079" width="6.5703125" style="105" customWidth="1"/>
    <col min="3080" max="3080" width="32.5703125" style="105" customWidth="1"/>
    <col min="3081" max="3083" width="10.7109375" style="105" customWidth="1"/>
    <col min="3084" max="3084" width="15.140625" style="105" customWidth="1"/>
    <col min="3085" max="3330" width="9.140625" style="105"/>
    <col min="3331" max="3331" width="20" style="105" customWidth="1"/>
    <col min="3332" max="3334" width="10.7109375" style="105" customWidth="1"/>
    <col min="3335" max="3335" width="6.5703125" style="105" customWidth="1"/>
    <col min="3336" max="3336" width="32.5703125" style="105" customWidth="1"/>
    <col min="3337" max="3339" width="10.7109375" style="105" customWidth="1"/>
    <col min="3340" max="3340" width="15.140625" style="105" customWidth="1"/>
    <col min="3341" max="3586" width="9.140625" style="105"/>
    <col min="3587" max="3587" width="20" style="105" customWidth="1"/>
    <col min="3588" max="3590" width="10.7109375" style="105" customWidth="1"/>
    <col min="3591" max="3591" width="6.5703125" style="105" customWidth="1"/>
    <col min="3592" max="3592" width="32.5703125" style="105" customWidth="1"/>
    <col min="3593" max="3595" width="10.7109375" style="105" customWidth="1"/>
    <col min="3596" max="3596" width="15.140625" style="105" customWidth="1"/>
    <col min="3597" max="3842" width="9.140625" style="105"/>
    <col min="3843" max="3843" width="20" style="105" customWidth="1"/>
    <col min="3844" max="3846" width="10.7109375" style="105" customWidth="1"/>
    <col min="3847" max="3847" width="6.5703125" style="105" customWidth="1"/>
    <col min="3848" max="3848" width="32.5703125" style="105" customWidth="1"/>
    <col min="3849" max="3851" width="10.7109375" style="105" customWidth="1"/>
    <col min="3852" max="3852" width="15.140625" style="105" customWidth="1"/>
    <col min="3853" max="4098" width="9.140625" style="105"/>
    <col min="4099" max="4099" width="20" style="105" customWidth="1"/>
    <col min="4100" max="4102" width="10.7109375" style="105" customWidth="1"/>
    <col min="4103" max="4103" width="6.5703125" style="105" customWidth="1"/>
    <col min="4104" max="4104" width="32.5703125" style="105" customWidth="1"/>
    <col min="4105" max="4107" width="10.7109375" style="105" customWidth="1"/>
    <col min="4108" max="4108" width="15.140625" style="105" customWidth="1"/>
    <col min="4109" max="4354" width="9.140625" style="105"/>
    <col min="4355" max="4355" width="20" style="105" customWidth="1"/>
    <col min="4356" max="4358" width="10.7109375" style="105" customWidth="1"/>
    <col min="4359" max="4359" width="6.5703125" style="105" customWidth="1"/>
    <col min="4360" max="4360" width="32.5703125" style="105" customWidth="1"/>
    <col min="4361" max="4363" width="10.7109375" style="105" customWidth="1"/>
    <col min="4364" max="4364" width="15.140625" style="105" customWidth="1"/>
    <col min="4365" max="4610" width="9.140625" style="105"/>
    <col min="4611" max="4611" width="20" style="105" customWidth="1"/>
    <col min="4612" max="4614" width="10.7109375" style="105" customWidth="1"/>
    <col min="4615" max="4615" width="6.5703125" style="105" customWidth="1"/>
    <col min="4616" max="4616" width="32.5703125" style="105" customWidth="1"/>
    <col min="4617" max="4619" width="10.7109375" style="105" customWidth="1"/>
    <col min="4620" max="4620" width="15.140625" style="105" customWidth="1"/>
    <col min="4621" max="4866" width="9.140625" style="105"/>
    <col min="4867" max="4867" width="20" style="105" customWidth="1"/>
    <col min="4868" max="4870" width="10.7109375" style="105" customWidth="1"/>
    <col min="4871" max="4871" width="6.5703125" style="105" customWidth="1"/>
    <col min="4872" max="4872" width="32.5703125" style="105" customWidth="1"/>
    <col min="4873" max="4875" width="10.7109375" style="105" customWidth="1"/>
    <col min="4876" max="4876" width="15.140625" style="105" customWidth="1"/>
    <col min="4877" max="5122" width="9.140625" style="105"/>
    <col min="5123" max="5123" width="20" style="105" customWidth="1"/>
    <col min="5124" max="5126" width="10.7109375" style="105" customWidth="1"/>
    <col min="5127" max="5127" width="6.5703125" style="105" customWidth="1"/>
    <col min="5128" max="5128" width="32.5703125" style="105" customWidth="1"/>
    <col min="5129" max="5131" width="10.7109375" style="105" customWidth="1"/>
    <col min="5132" max="5132" width="15.140625" style="105" customWidth="1"/>
    <col min="5133" max="5378" width="9.140625" style="105"/>
    <col min="5379" max="5379" width="20" style="105" customWidth="1"/>
    <col min="5380" max="5382" width="10.7109375" style="105" customWidth="1"/>
    <col min="5383" max="5383" width="6.5703125" style="105" customWidth="1"/>
    <col min="5384" max="5384" width="32.5703125" style="105" customWidth="1"/>
    <col min="5385" max="5387" width="10.7109375" style="105" customWidth="1"/>
    <col min="5388" max="5388" width="15.140625" style="105" customWidth="1"/>
    <col min="5389" max="5634" width="9.140625" style="105"/>
    <col min="5635" max="5635" width="20" style="105" customWidth="1"/>
    <col min="5636" max="5638" width="10.7109375" style="105" customWidth="1"/>
    <col min="5639" max="5639" width="6.5703125" style="105" customWidth="1"/>
    <col min="5640" max="5640" width="32.5703125" style="105" customWidth="1"/>
    <col min="5641" max="5643" width="10.7109375" style="105" customWidth="1"/>
    <col min="5644" max="5644" width="15.140625" style="105" customWidth="1"/>
    <col min="5645" max="5890" width="9.140625" style="105"/>
    <col min="5891" max="5891" width="20" style="105" customWidth="1"/>
    <col min="5892" max="5894" width="10.7109375" style="105" customWidth="1"/>
    <col min="5895" max="5895" width="6.5703125" style="105" customWidth="1"/>
    <col min="5896" max="5896" width="32.5703125" style="105" customWidth="1"/>
    <col min="5897" max="5899" width="10.7109375" style="105" customWidth="1"/>
    <col min="5900" max="5900" width="15.140625" style="105" customWidth="1"/>
    <col min="5901" max="6146" width="9.140625" style="105"/>
    <col min="6147" max="6147" width="20" style="105" customWidth="1"/>
    <col min="6148" max="6150" width="10.7109375" style="105" customWidth="1"/>
    <col min="6151" max="6151" width="6.5703125" style="105" customWidth="1"/>
    <col min="6152" max="6152" width="32.5703125" style="105" customWidth="1"/>
    <col min="6153" max="6155" width="10.7109375" style="105" customWidth="1"/>
    <col min="6156" max="6156" width="15.140625" style="105" customWidth="1"/>
    <col min="6157" max="6402" width="9.140625" style="105"/>
    <col min="6403" max="6403" width="20" style="105" customWidth="1"/>
    <col min="6404" max="6406" width="10.7109375" style="105" customWidth="1"/>
    <col min="6407" max="6407" width="6.5703125" style="105" customWidth="1"/>
    <col min="6408" max="6408" width="32.5703125" style="105" customWidth="1"/>
    <col min="6409" max="6411" width="10.7109375" style="105" customWidth="1"/>
    <col min="6412" max="6412" width="15.140625" style="105" customWidth="1"/>
    <col min="6413" max="6658" width="9.140625" style="105"/>
    <col min="6659" max="6659" width="20" style="105" customWidth="1"/>
    <col min="6660" max="6662" width="10.7109375" style="105" customWidth="1"/>
    <col min="6663" max="6663" width="6.5703125" style="105" customWidth="1"/>
    <col min="6664" max="6664" width="32.5703125" style="105" customWidth="1"/>
    <col min="6665" max="6667" width="10.7109375" style="105" customWidth="1"/>
    <col min="6668" max="6668" width="15.140625" style="105" customWidth="1"/>
    <col min="6669" max="6914" width="9.140625" style="105"/>
    <col min="6915" max="6915" width="20" style="105" customWidth="1"/>
    <col min="6916" max="6918" width="10.7109375" style="105" customWidth="1"/>
    <col min="6919" max="6919" width="6.5703125" style="105" customWidth="1"/>
    <col min="6920" max="6920" width="32.5703125" style="105" customWidth="1"/>
    <col min="6921" max="6923" width="10.7109375" style="105" customWidth="1"/>
    <col min="6924" max="6924" width="15.140625" style="105" customWidth="1"/>
    <col min="6925" max="7170" width="9.140625" style="105"/>
    <col min="7171" max="7171" width="20" style="105" customWidth="1"/>
    <col min="7172" max="7174" width="10.7109375" style="105" customWidth="1"/>
    <col min="7175" max="7175" width="6.5703125" style="105" customWidth="1"/>
    <col min="7176" max="7176" width="32.5703125" style="105" customWidth="1"/>
    <col min="7177" max="7179" width="10.7109375" style="105" customWidth="1"/>
    <col min="7180" max="7180" width="15.140625" style="105" customWidth="1"/>
    <col min="7181" max="7426" width="9.140625" style="105"/>
    <col min="7427" max="7427" width="20" style="105" customWidth="1"/>
    <col min="7428" max="7430" width="10.7109375" style="105" customWidth="1"/>
    <col min="7431" max="7431" width="6.5703125" style="105" customWidth="1"/>
    <col min="7432" max="7432" width="32.5703125" style="105" customWidth="1"/>
    <col min="7433" max="7435" width="10.7109375" style="105" customWidth="1"/>
    <col min="7436" max="7436" width="15.140625" style="105" customWidth="1"/>
    <col min="7437" max="7682" width="9.140625" style="105"/>
    <col min="7683" max="7683" width="20" style="105" customWidth="1"/>
    <col min="7684" max="7686" width="10.7109375" style="105" customWidth="1"/>
    <col min="7687" max="7687" width="6.5703125" style="105" customWidth="1"/>
    <col min="7688" max="7688" width="32.5703125" style="105" customWidth="1"/>
    <col min="7689" max="7691" width="10.7109375" style="105" customWidth="1"/>
    <col min="7692" max="7692" width="15.140625" style="105" customWidth="1"/>
    <col min="7693" max="7938" width="9.140625" style="105"/>
    <col min="7939" max="7939" width="20" style="105" customWidth="1"/>
    <col min="7940" max="7942" width="10.7109375" style="105" customWidth="1"/>
    <col min="7943" max="7943" width="6.5703125" style="105" customWidth="1"/>
    <col min="7944" max="7944" width="32.5703125" style="105" customWidth="1"/>
    <col min="7945" max="7947" width="10.7109375" style="105" customWidth="1"/>
    <col min="7948" max="7948" width="15.140625" style="105" customWidth="1"/>
    <col min="7949" max="8194" width="9.140625" style="105"/>
    <col min="8195" max="8195" width="20" style="105" customWidth="1"/>
    <col min="8196" max="8198" width="10.7109375" style="105" customWidth="1"/>
    <col min="8199" max="8199" width="6.5703125" style="105" customWidth="1"/>
    <col min="8200" max="8200" width="32.5703125" style="105" customWidth="1"/>
    <col min="8201" max="8203" width="10.7109375" style="105" customWidth="1"/>
    <col min="8204" max="8204" width="15.140625" style="105" customWidth="1"/>
    <col min="8205" max="8450" width="9.140625" style="105"/>
    <col min="8451" max="8451" width="20" style="105" customWidth="1"/>
    <col min="8452" max="8454" width="10.7109375" style="105" customWidth="1"/>
    <col min="8455" max="8455" width="6.5703125" style="105" customWidth="1"/>
    <col min="8456" max="8456" width="32.5703125" style="105" customWidth="1"/>
    <col min="8457" max="8459" width="10.7109375" style="105" customWidth="1"/>
    <col min="8460" max="8460" width="15.140625" style="105" customWidth="1"/>
    <col min="8461" max="8706" width="9.140625" style="105"/>
    <col min="8707" max="8707" width="20" style="105" customWidth="1"/>
    <col min="8708" max="8710" width="10.7109375" style="105" customWidth="1"/>
    <col min="8711" max="8711" width="6.5703125" style="105" customWidth="1"/>
    <col min="8712" max="8712" width="32.5703125" style="105" customWidth="1"/>
    <col min="8713" max="8715" width="10.7109375" style="105" customWidth="1"/>
    <col min="8716" max="8716" width="15.140625" style="105" customWidth="1"/>
    <col min="8717" max="8962" width="9.140625" style="105"/>
    <col min="8963" max="8963" width="20" style="105" customWidth="1"/>
    <col min="8964" max="8966" width="10.7109375" style="105" customWidth="1"/>
    <col min="8967" max="8967" width="6.5703125" style="105" customWidth="1"/>
    <col min="8968" max="8968" width="32.5703125" style="105" customWidth="1"/>
    <col min="8969" max="8971" width="10.7109375" style="105" customWidth="1"/>
    <col min="8972" max="8972" width="15.140625" style="105" customWidth="1"/>
    <col min="8973" max="9218" width="9.140625" style="105"/>
    <col min="9219" max="9219" width="20" style="105" customWidth="1"/>
    <col min="9220" max="9222" width="10.7109375" style="105" customWidth="1"/>
    <col min="9223" max="9223" width="6.5703125" style="105" customWidth="1"/>
    <col min="9224" max="9224" width="32.5703125" style="105" customWidth="1"/>
    <col min="9225" max="9227" width="10.7109375" style="105" customWidth="1"/>
    <col min="9228" max="9228" width="15.140625" style="105" customWidth="1"/>
    <col min="9229" max="9474" width="9.140625" style="105"/>
    <col min="9475" max="9475" width="20" style="105" customWidth="1"/>
    <col min="9476" max="9478" width="10.7109375" style="105" customWidth="1"/>
    <col min="9479" max="9479" width="6.5703125" style="105" customWidth="1"/>
    <col min="9480" max="9480" width="32.5703125" style="105" customWidth="1"/>
    <col min="9481" max="9483" width="10.7109375" style="105" customWidth="1"/>
    <col min="9484" max="9484" width="15.140625" style="105" customWidth="1"/>
    <col min="9485" max="9730" width="9.140625" style="105"/>
    <col min="9731" max="9731" width="20" style="105" customWidth="1"/>
    <col min="9732" max="9734" width="10.7109375" style="105" customWidth="1"/>
    <col min="9735" max="9735" width="6.5703125" style="105" customWidth="1"/>
    <col min="9736" max="9736" width="32.5703125" style="105" customWidth="1"/>
    <col min="9737" max="9739" width="10.7109375" style="105" customWidth="1"/>
    <col min="9740" max="9740" width="15.140625" style="105" customWidth="1"/>
    <col min="9741" max="9986" width="9.140625" style="105"/>
    <col min="9987" max="9987" width="20" style="105" customWidth="1"/>
    <col min="9988" max="9990" width="10.7109375" style="105" customWidth="1"/>
    <col min="9991" max="9991" width="6.5703125" style="105" customWidth="1"/>
    <col min="9992" max="9992" width="32.5703125" style="105" customWidth="1"/>
    <col min="9993" max="9995" width="10.7109375" style="105" customWidth="1"/>
    <col min="9996" max="9996" width="15.140625" style="105" customWidth="1"/>
    <col min="9997" max="10242" width="9.140625" style="105"/>
    <col min="10243" max="10243" width="20" style="105" customWidth="1"/>
    <col min="10244" max="10246" width="10.7109375" style="105" customWidth="1"/>
    <col min="10247" max="10247" width="6.5703125" style="105" customWidth="1"/>
    <col min="10248" max="10248" width="32.5703125" style="105" customWidth="1"/>
    <col min="10249" max="10251" width="10.7109375" style="105" customWidth="1"/>
    <col min="10252" max="10252" width="15.140625" style="105" customWidth="1"/>
    <col min="10253" max="10498" width="9.140625" style="105"/>
    <col min="10499" max="10499" width="20" style="105" customWidth="1"/>
    <col min="10500" max="10502" width="10.7109375" style="105" customWidth="1"/>
    <col min="10503" max="10503" width="6.5703125" style="105" customWidth="1"/>
    <col min="10504" max="10504" width="32.5703125" style="105" customWidth="1"/>
    <col min="10505" max="10507" width="10.7109375" style="105" customWidth="1"/>
    <col min="10508" max="10508" width="15.140625" style="105" customWidth="1"/>
    <col min="10509" max="10754" width="9.140625" style="105"/>
    <col min="10755" max="10755" width="20" style="105" customWidth="1"/>
    <col min="10756" max="10758" width="10.7109375" style="105" customWidth="1"/>
    <col min="10759" max="10759" width="6.5703125" style="105" customWidth="1"/>
    <col min="10760" max="10760" width="32.5703125" style="105" customWidth="1"/>
    <col min="10761" max="10763" width="10.7109375" style="105" customWidth="1"/>
    <col min="10764" max="10764" width="15.140625" style="105" customWidth="1"/>
    <col min="10765" max="11010" width="9.140625" style="105"/>
    <col min="11011" max="11011" width="20" style="105" customWidth="1"/>
    <col min="11012" max="11014" width="10.7109375" style="105" customWidth="1"/>
    <col min="11015" max="11015" width="6.5703125" style="105" customWidth="1"/>
    <col min="11016" max="11016" width="32.5703125" style="105" customWidth="1"/>
    <col min="11017" max="11019" width="10.7109375" style="105" customWidth="1"/>
    <col min="11020" max="11020" width="15.140625" style="105" customWidth="1"/>
    <col min="11021" max="11266" width="9.140625" style="105"/>
    <col min="11267" max="11267" width="20" style="105" customWidth="1"/>
    <col min="11268" max="11270" width="10.7109375" style="105" customWidth="1"/>
    <col min="11271" max="11271" width="6.5703125" style="105" customWidth="1"/>
    <col min="11272" max="11272" width="32.5703125" style="105" customWidth="1"/>
    <col min="11273" max="11275" width="10.7109375" style="105" customWidth="1"/>
    <col min="11276" max="11276" width="15.140625" style="105" customWidth="1"/>
    <col min="11277" max="11522" width="9.140625" style="105"/>
    <col min="11523" max="11523" width="20" style="105" customWidth="1"/>
    <col min="11524" max="11526" width="10.7109375" style="105" customWidth="1"/>
    <col min="11527" max="11527" width="6.5703125" style="105" customWidth="1"/>
    <col min="11528" max="11528" width="32.5703125" style="105" customWidth="1"/>
    <col min="11529" max="11531" width="10.7109375" style="105" customWidth="1"/>
    <col min="11532" max="11532" width="15.140625" style="105" customWidth="1"/>
    <col min="11533" max="11778" width="9.140625" style="105"/>
    <col min="11779" max="11779" width="20" style="105" customWidth="1"/>
    <col min="11780" max="11782" width="10.7109375" style="105" customWidth="1"/>
    <col min="11783" max="11783" width="6.5703125" style="105" customWidth="1"/>
    <col min="11784" max="11784" width="32.5703125" style="105" customWidth="1"/>
    <col min="11785" max="11787" width="10.7109375" style="105" customWidth="1"/>
    <col min="11788" max="11788" width="15.140625" style="105" customWidth="1"/>
    <col min="11789" max="12034" width="9.140625" style="105"/>
    <col min="12035" max="12035" width="20" style="105" customWidth="1"/>
    <col min="12036" max="12038" width="10.7109375" style="105" customWidth="1"/>
    <col min="12039" max="12039" width="6.5703125" style="105" customWidth="1"/>
    <col min="12040" max="12040" width="32.5703125" style="105" customWidth="1"/>
    <col min="12041" max="12043" width="10.7109375" style="105" customWidth="1"/>
    <col min="12044" max="12044" width="15.140625" style="105" customWidth="1"/>
    <col min="12045" max="12290" width="9.140625" style="105"/>
    <col min="12291" max="12291" width="20" style="105" customWidth="1"/>
    <col min="12292" max="12294" width="10.7109375" style="105" customWidth="1"/>
    <col min="12295" max="12295" width="6.5703125" style="105" customWidth="1"/>
    <col min="12296" max="12296" width="32.5703125" style="105" customWidth="1"/>
    <col min="12297" max="12299" width="10.7109375" style="105" customWidth="1"/>
    <col min="12300" max="12300" width="15.140625" style="105" customWidth="1"/>
    <col min="12301" max="12546" width="9.140625" style="105"/>
    <col min="12547" max="12547" width="20" style="105" customWidth="1"/>
    <col min="12548" max="12550" width="10.7109375" style="105" customWidth="1"/>
    <col min="12551" max="12551" width="6.5703125" style="105" customWidth="1"/>
    <col min="12552" max="12552" width="32.5703125" style="105" customWidth="1"/>
    <col min="12553" max="12555" width="10.7109375" style="105" customWidth="1"/>
    <col min="12556" max="12556" width="15.140625" style="105" customWidth="1"/>
    <col min="12557" max="12802" width="9.140625" style="105"/>
    <col min="12803" max="12803" width="20" style="105" customWidth="1"/>
    <col min="12804" max="12806" width="10.7109375" style="105" customWidth="1"/>
    <col min="12807" max="12807" width="6.5703125" style="105" customWidth="1"/>
    <col min="12808" max="12808" width="32.5703125" style="105" customWidth="1"/>
    <col min="12809" max="12811" width="10.7109375" style="105" customWidth="1"/>
    <col min="12812" max="12812" width="15.140625" style="105" customWidth="1"/>
    <col min="12813" max="13058" width="9.140625" style="105"/>
    <col min="13059" max="13059" width="20" style="105" customWidth="1"/>
    <col min="13060" max="13062" width="10.7109375" style="105" customWidth="1"/>
    <col min="13063" max="13063" width="6.5703125" style="105" customWidth="1"/>
    <col min="13064" max="13064" width="32.5703125" style="105" customWidth="1"/>
    <col min="13065" max="13067" width="10.7109375" style="105" customWidth="1"/>
    <col min="13068" max="13068" width="15.140625" style="105" customWidth="1"/>
    <col min="13069" max="13314" width="9.140625" style="105"/>
    <col min="13315" max="13315" width="20" style="105" customWidth="1"/>
    <col min="13316" max="13318" width="10.7109375" style="105" customWidth="1"/>
    <col min="13319" max="13319" width="6.5703125" style="105" customWidth="1"/>
    <col min="13320" max="13320" width="32.5703125" style="105" customWidth="1"/>
    <col min="13321" max="13323" width="10.7109375" style="105" customWidth="1"/>
    <col min="13324" max="13324" width="15.140625" style="105" customWidth="1"/>
    <col min="13325" max="13570" width="9.140625" style="105"/>
    <col min="13571" max="13571" width="20" style="105" customWidth="1"/>
    <col min="13572" max="13574" width="10.7109375" style="105" customWidth="1"/>
    <col min="13575" max="13575" width="6.5703125" style="105" customWidth="1"/>
    <col min="13576" max="13576" width="32.5703125" style="105" customWidth="1"/>
    <col min="13577" max="13579" width="10.7109375" style="105" customWidth="1"/>
    <col min="13580" max="13580" width="15.140625" style="105" customWidth="1"/>
    <col min="13581" max="13826" width="9.140625" style="105"/>
    <col min="13827" max="13827" width="20" style="105" customWidth="1"/>
    <col min="13828" max="13830" width="10.7109375" style="105" customWidth="1"/>
    <col min="13831" max="13831" width="6.5703125" style="105" customWidth="1"/>
    <col min="13832" max="13832" width="32.5703125" style="105" customWidth="1"/>
    <col min="13833" max="13835" width="10.7109375" style="105" customWidth="1"/>
    <col min="13836" max="13836" width="15.140625" style="105" customWidth="1"/>
    <col min="13837" max="14082" width="9.140625" style="105"/>
    <col min="14083" max="14083" width="20" style="105" customWidth="1"/>
    <col min="14084" max="14086" width="10.7109375" style="105" customWidth="1"/>
    <col min="14087" max="14087" width="6.5703125" style="105" customWidth="1"/>
    <col min="14088" max="14088" width="32.5703125" style="105" customWidth="1"/>
    <col min="14089" max="14091" width="10.7109375" style="105" customWidth="1"/>
    <col min="14092" max="14092" width="15.140625" style="105" customWidth="1"/>
    <col min="14093" max="14338" width="9.140625" style="105"/>
    <col min="14339" max="14339" width="20" style="105" customWidth="1"/>
    <col min="14340" max="14342" width="10.7109375" style="105" customWidth="1"/>
    <col min="14343" max="14343" width="6.5703125" style="105" customWidth="1"/>
    <col min="14344" max="14344" width="32.5703125" style="105" customWidth="1"/>
    <col min="14345" max="14347" width="10.7109375" style="105" customWidth="1"/>
    <col min="14348" max="14348" width="15.140625" style="105" customWidth="1"/>
    <col min="14349" max="14594" width="9.140625" style="105"/>
    <col min="14595" max="14595" width="20" style="105" customWidth="1"/>
    <col min="14596" max="14598" width="10.7109375" style="105" customWidth="1"/>
    <col min="14599" max="14599" width="6.5703125" style="105" customWidth="1"/>
    <col min="14600" max="14600" width="32.5703125" style="105" customWidth="1"/>
    <col min="14601" max="14603" width="10.7109375" style="105" customWidth="1"/>
    <col min="14604" max="14604" width="15.140625" style="105" customWidth="1"/>
    <col min="14605" max="14850" width="9.140625" style="105"/>
    <col min="14851" max="14851" width="20" style="105" customWidth="1"/>
    <col min="14852" max="14854" width="10.7109375" style="105" customWidth="1"/>
    <col min="14855" max="14855" width="6.5703125" style="105" customWidth="1"/>
    <col min="14856" max="14856" width="32.5703125" style="105" customWidth="1"/>
    <col min="14857" max="14859" width="10.7109375" style="105" customWidth="1"/>
    <col min="14860" max="14860" width="15.140625" style="105" customWidth="1"/>
    <col min="14861" max="15106" width="9.140625" style="105"/>
    <col min="15107" max="15107" width="20" style="105" customWidth="1"/>
    <col min="15108" max="15110" width="10.7109375" style="105" customWidth="1"/>
    <col min="15111" max="15111" width="6.5703125" style="105" customWidth="1"/>
    <col min="15112" max="15112" width="32.5703125" style="105" customWidth="1"/>
    <col min="15113" max="15115" width="10.7109375" style="105" customWidth="1"/>
    <col min="15116" max="15116" width="15.140625" style="105" customWidth="1"/>
    <col min="15117" max="15362" width="9.140625" style="105"/>
    <col min="15363" max="15363" width="20" style="105" customWidth="1"/>
    <col min="15364" max="15366" width="10.7109375" style="105" customWidth="1"/>
    <col min="15367" max="15367" width="6.5703125" style="105" customWidth="1"/>
    <col min="15368" max="15368" width="32.5703125" style="105" customWidth="1"/>
    <col min="15369" max="15371" width="10.7109375" style="105" customWidth="1"/>
    <col min="15372" max="15372" width="15.140625" style="105" customWidth="1"/>
    <col min="15373" max="15618" width="9.140625" style="105"/>
    <col min="15619" max="15619" width="20" style="105" customWidth="1"/>
    <col min="15620" max="15622" width="10.7109375" style="105" customWidth="1"/>
    <col min="15623" max="15623" width="6.5703125" style="105" customWidth="1"/>
    <col min="15624" max="15624" width="32.5703125" style="105" customWidth="1"/>
    <col min="15625" max="15627" width="10.7109375" style="105" customWidth="1"/>
    <col min="15628" max="15628" width="15.140625" style="105" customWidth="1"/>
    <col min="15629" max="15874" width="9.140625" style="105"/>
    <col min="15875" max="15875" width="20" style="105" customWidth="1"/>
    <col min="15876" max="15878" width="10.7109375" style="105" customWidth="1"/>
    <col min="15879" max="15879" width="6.5703125" style="105" customWidth="1"/>
    <col min="15880" max="15880" width="32.5703125" style="105" customWidth="1"/>
    <col min="15881" max="15883" width="10.7109375" style="105" customWidth="1"/>
    <col min="15884" max="15884" width="15.140625" style="105" customWidth="1"/>
    <col min="15885" max="16130" width="9.140625" style="105"/>
    <col min="16131" max="16131" width="20" style="105" customWidth="1"/>
    <col min="16132" max="16134" width="10.7109375" style="105" customWidth="1"/>
    <col min="16135" max="16135" width="6.5703125" style="105" customWidth="1"/>
    <col min="16136" max="16136" width="32.5703125" style="105" customWidth="1"/>
    <col min="16137" max="16139" width="10.7109375" style="105" customWidth="1"/>
    <col min="16140" max="16140" width="15.140625" style="105" customWidth="1"/>
    <col min="16141" max="16384" width="9.140625" style="105"/>
  </cols>
  <sheetData>
    <row r="1" spans="1:12" ht="12" customHeight="1" x14ac:dyDescent="0.2">
      <c r="A1" s="105" t="s">
        <v>453</v>
      </c>
      <c r="H1" s="588"/>
      <c r="J1" s="492"/>
      <c r="K1" s="543" t="s">
        <v>1841</v>
      </c>
      <c r="L1" s="492"/>
    </row>
    <row r="2" spans="1:12" ht="12" customHeight="1" x14ac:dyDescent="0.2">
      <c r="H2" s="588"/>
      <c r="J2" s="492"/>
      <c r="K2" s="492"/>
      <c r="L2" s="492"/>
    </row>
    <row r="3" spans="1:12" ht="12" customHeight="1" x14ac:dyDescent="0.2">
      <c r="A3" s="862" t="s">
        <v>282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528"/>
    </row>
    <row r="4" spans="1:12" ht="12" customHeight="1" x14ac:dyDescent="0.2">
      <c r="A4" s="905"/>
      <c r="B4" s="905"/>
      <c r="C4" s="905"/>
      <c r="D4" s="589"/>
      <c r="E4" s="589"/>
      <c r="F4" s="108"/>
      <c r="G4" s="906"/>
      <c r="H4" s="906"/>
      <c r="J4" s="497"/>
      <c r="K4" s="497" t="s">
        <v>281</v>
      </c>
      <c r="L4" s="497"/>
    </row>
    <row r="5" spans="1:12" ht="12" customHeight="1" x14ac:dyDescent="0.2">
      <c r="A5" s="864" t="s">
        <v>3</v>
      </c>
      <c r="B5" s="864"/>
      <c r="C5" s="864"/>
      <c r="D5" s="864"/>
      <c r="E5" s="864"/>
      <c r="F5" s="864"/>
      <c r="G5" s="864" t="s">
        <v>4</v>
      </c>
      <c r="H5" s="864"/>
      <c r="I5" s="864"/>
      <c r="J5" s="864"/>
      <c r="K5" s="864"/>
      <c r="L5" s="35"/>
    </row>
    <row r="6" spans="1:12" x14ac:dyDescent="0.2">
      <c r="A6" s="843" t="s">
        <v>50</v>
      </c>
      <c r="B6" s="844"/>
      <c r="C6" s="845"/>
      <c r="D6" s="692" t="s">
        <v>280</v>
      </c>
      <c r="E6" s="693"/>
      <c r="F6" s="694"/>
      <c r="G6" s="843" t="s">
        <v>50</v>
      </c>
      <c r="H6" s="845"/>
      <c r="I6" s="864" t="s">
        <v>280</v>
      </c>
      <c r="J6" s="864"/>
      <c r="K6" s="864"/>
      <c r="L6" s="35"/>
    </row>
    <row r="7" spans="1:12" x14ac:dyDescent="0.2">
      <c r="A7" s="846"/>
      <c r="B7" s="847"/>
      <c r="C7" s="848"/>
      <c r="D7" s="529">
        <v>2015</v>
      </c>
      <c r="E7" s="529">
        <v>2016</v>
      </c>
      <c r="F7" s="529">
        <v>2017</v>
      </c>
      <c r="G7" s="846"/>
      <c r="H7" s="848"/>
      <c r="I7" s="529">
        <v>2015</v>
      </c>
      <c r="J7" s="529">
        <v>2016</v>
      </c>
      <c r="K7" s="529">
        <v>2017</v>
      </c>
      <c r="L7" s="35"/>
    </row>
    <row r="8" spans="1:12" ht="12" customHeight="1" x14ac:dyDescent="0.2">
      <c r="A8" s="889" t="s">
        <v>279</v>
      </c>
      <c r="B8" s="899"/>
      <c r="C8" s="890"/>
      <c r="D8" s="46"/>
      <c r="E8" s="46"/>
      <c r="F8" s="46"/>
      <c r="G8" s="889" t="s">
        <v>278</v>
      </c>
      <c r="H8" s="890"/>
      <c r="I8" s="46">
        <f>367806*1.025</f>
        <v>377001.14999999997</v>
      </c>
      <c r="J8" s="46">
        <f t="shared" ref="J8:K10" si="0">+I8*1.025</f>
        <v>386426.1787499999</v>
      </c>
      <c r="K8" s="46">
        <f t="shared" si="0"/>
        <v>396086.83321874985</v>
      </c>
      <c r="L8" s="164"/>
    </row>
    <row r="9" spans="1:12" ht="12" customHeight="1" x14ac:dyDescent="0.2">
      <c r="A9" s="889" t="s">
        <v>277</v>
      </c>
      <c r="B9" s="899"/>
      <c r="C9" s="890"/>
      <c r="D9" s="46"/>
      <c r="E9" s="46"/>
      <c r="F9" s="46"/>
      <c r="G9" s="889" t="s">
        <v>276</v>
      </c>
      <c r="H9" s="890"/>
      <c r="I9" s="46">
        <f>100451*1.025</f>
        <v>102962.27499999999</v>
      </c>
      <c r="J9" s="46">
        <f t="shared" si="0"/>
        <v>105536.33187499999</v>
      </c>
      <c r="K9" s="46">
        <f t="shared" si="0"/>
        <v>108174.74017187498</v>
      </c>
      <c r="L9" s="164"/>
    </row>
    <row r="10" spans="1:12" ht="12" customHeight="1" x14ac:dyDescent="0.2">
      <c r="A10" s="889" t="s">
        <v>275</v>
      </c>
      <c r="B10" s="899"/>
      <c r="C10" s="890"/>
      <c r="D10" s="46">
        <f>108555*1.025</f>
        <v>111268.87499999999</v>
      </c>
      <c r="E10" s="46">
        <f>+D10*1.025</f>
        <v>114050.59687499997</v>
      </c>
      <c r="F10" s="46">
        <f>+E10*1.025</f>
        <v>116901.86179687496</v>
      </c>
      <c r="G10" s="889" t="s">
        <v>274</v>
      </c>
      <c r="H10" s="890"/>
      <c r="I10" s="46">
        <f>189406*1.025</f>
        <v>194141.15</v>
      </c>
      <c r="J10" s="46">
        <f t="shared" si="0"/>
        <v>198994.67874999996</v>
      </c>
      <c r="K10" s="46">
        <f t="shared" si="0"/>
        <v>203969.54571874996</v>
      </c>
      <c r="L10" s="164"/>
    </row>
    <row r="11" spans="1:12" ht="12" customHeight="1" x14ac:dyDescent="0.2">
      <c r="A11" s="889" t="s">
        <v>273</v>
      </c>
      <c r="B11" s="899"/>
      <c r="C11" s="890"/>
      <c r="D11" s="46"/>
      <c r="E11" s="46"/>
      <c r="F11" s="46"/>
      <c r="G11" s="889" t="s">
        <v>272</v>
      </c>
      <c r="H11" s="890"/>
      <c r="I11" s="46"/>
      <c r="J11" s="46"/>
      <c r="K11" s="46"/>
      <c r="L11" s="164"/>
    </row>
    <row r="12" spans="1:12" ht="12" customHeight="1" x14ac:dyDescent="0.2">
      <c r="A12" s="888"/>
      <c r="B12" s="888"/>
      <c r="C12" s="888"/>
      <c r="D12" s="46"/>
      <c r="E12" s="46"/>
      <c r="F12" s="46"/>
      <c r="G12" s="889" t="s">
        <v>271</v>
      </c>
      <c r="H12" s="890"/>
      <c r="I12" s="46"/>
      <c r="J12" s="46"/>
      <c r="K12" s="46"/>
      <c r="L12" s="164"/>
    </row>
    <row r="13" spans="1:12" ht="12" customHeight="1" x14ac:dyDescent="0.2">
      <c r="A13" s="902"/>
      <c r="B13" s="902"/>
      <c r="C13" s="902"/>
      <c r="D13" s="46"/>
      <c r="E13" s="46"/>
      <c r="F13" s="46"/>
      <c r="G13" s="900" t="s">
        <v>270</v>
      </c>
      <c r="H13" s="901"/>
      <c r="I13" s="46"/>
      <c r="J13" s="46"/>
      <c r="K13" s="46"/>
      <c r="L13" s="164"/>
    </row>
    <row r="14" spans="1:12" ht="12" customHeight="1" x14ac:dyDescent="0.2">
      <c r="A14" s="903"/>
      <c r="B14" s="903"/>
      <c r="C14" s="903"/>
      <c r="D14" s="46"/>
      <c r="E14" s="46"/>
      <c r="F14" s="46"/>
      <c r="G14" s="889" t="s">
        <v>269</v>
      </c>
      <c r="H14" s="890"/>
      <c r="I14" s="46"/>
      <c r="J14" s="46"/>
      <c r="K14" s="46"/>
      <c r="L14" s="164"/>
    </row>
    <row r="15" spans="1:12" s="107" customFormat="1" ht="23.25" customHeight="1" x14ac:dyDescent="0.2">
      <c r="A15" s="894" t="s">
        <v>268</v>
      </c>
      <c r="B15" s="904"/>
      <c r="C15" s="895"/>
      <c r="D15" s="47">
        <f>SUM(D8:D11)</f>
        <v>111268.87499999999</v>
      </c>
      <c r="E15" s="47">
        <f>SUM(E8:E11)</f>
        <v>114050.59687499997</v>
      </c>
      <c r="F15" s="47">
        <f>SUM(F8:F11)</f>
        <v>116901.86179687496</v>
      </c>
      <c r="G15" s="894" t="s">
        <v>267</v>
      </c>
      <c r="H15" s="895"/>
      <c r="I15" s="47">
        <f>SUM(I8:I12)</f>
        <v>674104.57499999995</v>
      </c>
      <c r="J15" s="47">
        <f>SUM(J8:J12)</f>
        <v>690957.18937499984</v>
      </c>
      <c r="K15" s="47">
        <f>SUM(K8:K12)</f>
        <v>708231.11910937482</v>
      </c>
      <c r="L15" s="114"/>
    </row>
    <row r="16" spans="1:12" ht="12" customHeight="1" x14ac:dyDescent="0.2">
      <c r="A16" s="889"/>
      <c r="B16" s="899"/>
      <c r="C16" s="890"/>
      <c r="D16" s="46"/>
      <c r="E16" s="46"/>
      <c r="F16" s="46"/>
      <c r="G16" s="889"/>
      <c r="H16" s="890"/>
      <c r="I16" s="46"/>
      <c r="J16" s="46"/>
      <c r="K16" s="46"/>
      <c r="L16" s="164"/>
    </row>
    <row r="17" spans="1:12" ht="12" customHeight="1" x14ac:dyDescent="0.2">
      <c r="A17" s="889" t="s">
        <v>253</v>
      </c>
      <c r="B17" s="899"/>
      <c r="C17" s="890"/>
      <c r="D17" s="46"/>
      <c r="E17" s="46"/>
      <c r="F17" s="46"/>
      <c r="G17" s="889" t="s">
        <v>266</v>
      </c>
      <c r="H17" s="890"/>
      <c r="I17" s="46"/>
      <c r="J17" s="46"/>
      <c r="K17" s="46"/>
    </row>
    <row r="18" spans="1:12" ht="12" customHeight="1" x14ac:dyDescent="0.2">
      <c r="A18" s="887" t="s">
        <v>251</v>
      </c>
      <c r="B18" s="887"/>
      <c r="C18" s="887"/>
      <c r="D18" s="46"/>
      <c r="E18" s="46"/>
      <c r="F18" s="46"/>
      <c r="G18" s="907" t="s">
        <v>250</v>
      </c>
      <c r="H18" s="908"/>
      <c r="I18" s="46"/>
      <c r="J18" s="46"/>
      <c r="K18" s="46"/>
    </row>
    <row r="19" spans="1:12" ht="12" customHeight="1" x14ac:dyDescent="0.2">
      <c r="A19" s="887" t="s">
        <v>249</v>
      </c>
      <c r="B19" s="887"/>
      <c r="C19" s="887"/>
      <c r="D19" s="46"/>
      <c r="E19" s="46"/>
      <c r="F19" s="46"/>
      <c r="G19" s="907" t="s">
        <v>265</v>
      </c>
      <c r="H19" s="908"/>
      <c r="I19" s="46"/>
      <c r="J19" s="46"/>
      <c r="K19" s="46"/>
    </row>
    <row r="20" spans="1:12" ht="12" customHeight="1" x14ac:dyDescent="0.2">
      <c r="A20" s="888" t="s">
        <v>247</v>
      </c>
      <c r="B20" s="888"/>
      <c r="C20" s="888"/>
      <c r="D20" s="46"/>
      <c r="E20" s="46"/>
      <c r="F20" s="46"/>
      <c r="G20" s="907" t="s">
        <v>246</v>
      </c>
      <c r="H20" s="908"/>
      <c r="I20" s="46"/>
      <c r="J20" s="46"/>
      <c r="K20" s="46"/>
    </row>
    <row r="21" spans="1:12" ht="12" customHeight="1" x14ac:dyDescent="0.2">
      <c r="A21" s="888" t="s">
        <v>245</v>
      </c>
      <c r="B21" s="888"/>
      <c r="C21" s="888"/>
      <c r="D21" s="46"/>
      <c r="E21" s="46"/>
      <c r="F21" s="46"/>
      <c r="G21" s="907" t="s">
        <v>244</v>
      </c>
      <c r="H21" s="908"/>
      <c r="I21" s="46"/>
      <c r="J21" s="46"/>
      <c r="K21" s="46"/>
    </row>
    <row r="22" spans="1:12" ht="12" customHeight="1" x14ac:dyDescent="0.2">
      <c r="A22" s="887" t="s">
        <v>243</v>
      </c>
      <c r="B22" s="887"/>
      <c r="C22" s="887"/>
      <c r="D22" s="46">
        <f>+I26-D15</f>
        <v>562835.69999999995</v>
      </c>
      <c r="E22" s="46">
        <f>+J26-E15</f>
        <v>576906.59249999991</v>
      </c>
      <c r="F22" s="46">
        <f>+K26-F15</f>
        <v>591329.25731249992</v>
      </c>
      <c r="G22" s="907" t="s">
        <v>242</v>
      </c>
      <c r="H22" s="908"/>
      <c r="I22" s="46"/>
      <c r="J22" s="46"/>
      <c r="K22" s="46"/>
    </row>
    <row r="23" spans="1:12" ht="12" customHeight="1" x14ac:dyDescent="0.2">
      <c r="A23" s="891"/>
      <c r="B23" s="891"/>
      <c r="C23" s="891"/>
      <c r="D23" s="46"/>
      <c r="E23" s="46"/>
      <c r="F23" s="46"/>
      <c r="G23" s="907" t="s">
        <v>241</v>
      </c>
      <c r="H23" s="908"/>
      <c r="I23" s="46"/>
      <c r="J23" s="46"/>
      <c r="K23" s="46"/>
    </row>
    <row r="24" spans="1:12" ht="12" customHeight="1" x14ac:dyDescent="0.2">
      <c r="A24" s="902" t="s">
        <v>264</v>
      </c>
      <c r="B24" s="902"/>
      <c r="C24" s="902"/>
      <c r="D24" s="47">
        <f>SUM(D17:D22)</f>
        <v>562835.69999999995</v>
      </c>
      <c r="E24" s="47">
        <f>SUM(E17:E22)</f>
        <v>576906.59249999991</v>
      </c>
      <c r="F24" s="47">
        <f>SUM(F17:F22)</f>
        <v>591329.25731249992</v>
      </c>
      <c r="G24" s="894" t="s">
        <v>263</v>
      </c>
      <c r="H24" s="895"/>
      <c r="I24" s="47">
        <f>SUM(I17:I23)</f>
        <v>0</v>
      </c>
      <c r="J24" s="47">
        <f>SUM(J17:J23)</f>
        <v>0</v>
      </c>
      <c r="K24" s="47">
        <f>SUM(K17:K23)</f>
        <v>0</v>
      </c>
      <c r="L24" s="164"/>
    </row>
    <row r="25" spans="1:12" ht="12" customHeight="1" x14ac:dyDescent="0.2">
      <c r="A25" s="903"/>
      <c r="B25" s="903"/>
      <c r="C25" s="903"/>
      <c r="D25" s="47"/>
      <c r="E25" s="47"/>
      <c r="F25" s="47"/>
      <c r="G25" s="892"/>
      <c r="H25" s="893"/>
      <c r="I25" s="47"/>
      <c r="J25" s="47"/>
      <c r="K25" s="47"/>
      <c r="L25" s="164"/>
    </row>
    <row r="26" spans="1:12" ht="12" customHeight="1" x14ac:dyDescent="0.2">
      <c r="A26" s="902" t="s">
        <v>262</v>
      </c>
      <c r="B26" s="902"/>
      <c r="C26" s="902"/>
      <c r="D26" s="47">
        <f>+D15+D24</f>
        <v>674104.57499999995</v>
      </c>
      <c r="E26" s="47">
        <f>+E15+E24</f>
        <v>690957.18937499984</v>
      </c>
      <c r="F26" s="47">
        <f>+F15+F24</f>
        <v>708231.11910937494</v>
      </c>
      <c r="G26" s="894" t="s">
        <v>261</v>
      </c>
      <c r="H26" s="895"/>
      <c r="I26" s="47">
        <f>+I15+I24</f>
        <v>674104.57499999995</v>
      </c>
      <c r="J26" s="47">
        <f>+J15+J24</f>
        <v>690957.18937499984</v>
      </c>
      <c r="K26" s="47">
        <f>+K15+K24</f>
        <v>708231.11910937482</v>
      </c>
      <c r="L26" s="164"/>
    </row>
    <row r="27" spans="1:12" ht="12" customHeight="1" x14ac:dyDescent="0.2">
      <c r="A27" s="888"/>
      <c r="B27" s="888"/>
      <c r="C27" s="888"/>
      <c r="D27" s="46"/>
      <c r="E27" s="46"/>
      <c r="F27" s="46"/>
      <c r="G27" s="889"/>
      <c r="H27" s="890"/>
      <c r="I27" s="46"/>
      <c r="J27" s="46"/>
      <c r="K27" s="46"/>
      <c r="L27" s="164"/>
    </row>
    <row r="28" spans="1:12" ht="12.75" customHeight="1" x14ac:dyDescent="0.2">
      <c r="A28" s="889" t="s">
        <v>260</v>
      </c>
      <c r="B28" s="899"/>
      <c r="C28" s="890"/>
      <c r="D28" s="46"/>
      <c r="E28" s="46"/>
      <c r="F28" s="46"/>
      <c r="G28" s="889" t="s">
        <v>259</v>
      </c>
      <c r="H28" s="890"/>
      <c r="I28" s="46">
        <f>1000*1.25</f>
        <v>1250</v>
      </c>
      <c r="J28" s="46">
        <f>+I28*1.025</f>
        <v>1281.25</v>
      </c>
      <c r="K28" s="46">
        <f>+J28*1.025</f>
        <v>1313.2812499999998</v>
      </c>
      <c r="L28" s="164"/>
    </row>
    <row r="29" spans="1:12" ht="12" customHeight="1" x14ac:dyDescent="0.2">
      <c r="A29" s="889" t="s">
        <v>258</v>
      </c>
      <c r="B29" s="899"/>
      <c r="C29" s="890"/>
      <c r="D29" s="46"/>
      <c r="E29" s="46"/>
      <c r="F29" s="46"/>
      <c r="G29" s="889" t="s">
        <v>198</v>
      </c>
      <c r="H29" s="890"/>
      <c r="I29" s="46"/>
      <c r="J29" s="46"/>
      <c r="K29" s="46"/>
      <c r="L29" s="164"/>
    </row>
    <row r="30" spans="1:12" ht="12" customHeight="1" x14ac:dyDescent="0.2">
      <c r="A30" s="888" t="s">
        <v>257</v>
      </c>
      <c r="B30" s="888"/>
      <c r="C30" s="888"/>
      <c r="D30" s="46"/>
      <c r="E30" s="46"/>
      <c r="F30" s="46"/>
      <c r="G30" s="889" t="s">
        <v>256</v>
      </c>
      <c r="H30" s="890"/>
      <c r="I30" s="46"/>
      <c r="J30" s="46"/>
      <c r="K30" s="46"/>
      <c r="L30" s="164"/>
    </row>
    <row r="31" spans="1:12" ht="24" customHeight="1" x14ac:dyDescent="0.2">
      <c r="A31" s="894" t="s">
        <v>255</v>
      </c>
      <c r="B31" s="904"/>
      <c r="C31" s="895"/>
      <c r="D31" s="46">
        <f>SUM(D28:D30)</f>
        <v>0</v>
      </c>
      <c r="E31" s="46">
        <f>SUM(E28:E30)</f>
        <v>0</v>
      </c>
      <c r="F31" s="46">
        <f>SUM(F28:F30)</f>
        <v>0</v>
      </c>
      <c r="G31" s="894" t="s">
        <v>254</v>
      </c>
      <c r="H31" s="895"/>
      <c r="I31" s="47">
        <f>SUM(I28:I30)</f>
        <v>1250</v>
      </c>
      <c r="J31" s="47">
        <f>SUM(J28:J30)</f>
        <v>1281.25</v>
      </c>
      <c r="K31" s="47">
        <f>SUM(K28:K30)</f>
        <v>1313.2812499999998</v>
      </c>
      <c r="L31" s="164"/>
    </row>
    <row r="32" spans="1:12" ht="12" customHeight="1" x14ac:dyDescent="0.2">
      <c r="A32" s="888"/>
      <c r="B32" s="888"/>
      <c r="C32" s="888"/>
      <c r="D32" s="46"/>
      <c r="E32" s="46"/>
      <c r="F32" s="46"/>
      <c r="G32" s="889"/>
      <c r="H32" s="890"/>
      <c r="I32" s="46"/>
      <c r="J32" s="46"/>
      <c r="K32" s="46"/>
      <c r="L32" s="164"/>
    </row>
    <row r="33" spans="1:12" ht="12" customHeight="1" x14ac:dyDescent="0.2">
      <c r="A33" s="889" t="s">
        <v>253</v>
      </c>
      <c r="B33" s="899"/>
      <c r="C33" s="890"/>
      <c r="D33" s="46"/>
      <c r="E33" s="46"/>
      <c r="F33" s="46"/>
      <c r="G33" s="889" t="s">
        <v>252</v>
      </c>
      <c r="H33" s="890"/>
      <c r="I33" s="46"/>
      <c r="J33" s="46"/>
      <c r="K33" s="46"/>
    </row>
    <row r="34" spans="1:12" ht="12" customHeight="1" x14ac:dyDescent="0.2">
      <c r="A34" s="887" t="s">
        <v>251</v>
      </c>
      <c r="B34" s="887"/>
      <c r="C34" s="887"/>
      <c r="D34" s="46"/>
      <c r="E34" s="46"/>
      <c r="F34" s="46"/>
      <c r="G34" s="907" t="s">
        <v>250</v>
      </c>
      <c r="H34" s="908"/>
      <c r="I34" s="46"/>
      <c r="J34" s="46"/>
      <c r="K34" s="46"/>
    </row>
    <row r="35" spans="1:12" ht="12" customHeight="1" x14ac:dyDescent="0.2">
      <c r="A35" s="887" t="s">
        <v>249</v>
      </c>
      <c r="B35" s="887"/>
      <c r="C35" s="887"/>
      <c r="D35" s="46"/>
      <c r="E35" s="46"/>
      <c r="F35" s="46"/>
      <c r="G35" s="889" t="s">
        <v>248</v>
      </c>
      <c r="H35" s="890"/>
      <c r="I35" s="46"/>
      <c r="J35" s="46"/>
      <c r="K35" s="46"/>
    </row>
    <row r="36" spans="1:12" ht="12" customHeight="1" x14ac:dyDescent="0.2">
      <c r="A36" s="888" t="s">
        <v>247</v>
      </c>
      <c r="B36" s="888"/>
      <c r="C36" s="888"/>
      <c r="D36" s="46"/>
      <c r="E36" s="46"/>
      <c r="F36" s="46"/>
      <c r="G36" s="889" t="s">
        <v>246</v>
      </c>
      <c r="H36" s="890"/>
      <c r="I36" s="46"/>
      <c r="J36" s="46"/>
      <c r="K36" s="46"/>
    </row>
    <row r="37" spans="1:12" ht="12" customHeight="1" x14ac:dyDescent="0.2">
      <c r="A37" s="888" t="s">
        <v>245</v>
      </c>
      <c r="B37" s="888"/>
      <c r="C37" s="888"/>
      <c r="D37" s="46"/>
      <c r="E37" s="46"/>
      <c r="F37" s="46"/>
      <c r="G37" s="907" t="s">
        <v>244</v>
      </c>
      <c r="H37" s="908"/>
      <c r="I37" s="46"/>
      <c r="J37" s="46"/>
      <c r="K37" s="46"/>
    </row>
    <row r="38" spans="1:12" ht="12" customHeight="1" x14ac:dyDescent="0.2">
      <c r="A38" s="887" t="s">
        <v>243</v>
      </c>
      <c r="B38" s="887"/>
      <c r="C38" s="887"/>
      <c r="D38" s="46">
        <f>+I31</f>
        <v>1250</v>
      </c>
      <c r="E38" s="46">
        <f>+J31</f>
        <v>1281.25</v>
      </c>
      <c r="F38" s="46">
        <f>+K31</f>
        <v>1313.2812499999998</v>
      </c>
      <c r="G38" s="907" t="s">
        <v>242</v>
      </c>
      <c r="H38" s="908"/>
      <c r="I38" s="46"/>
      <c r="J38" s="46"/>
      <c r="K38" s="46"/>
    </row>
    <row r="39" spans="1:12" ht="12" customHeight="1" x14ac:dyDescent="0.2">
      <c r="A39" s="891"/>
      <c r="B39" s="891"/>
      <c r="C39" s="891"/>
      <c r="D39" s="46"/>
      <c r="E39" s="46"/>
      <c r="F39" s="46"/>
      <c r="G39" s="907" t="s">
        <v>241</v>
      </c>
      <c r="H39" s="908"/>
      <c r="I39" s="46"/>
      <c r="J39" s="46"/>
      <c r="K39" s="46"/>
    </row>
    <row r="40" spans="1:12" ht="12" customHeight="1" x14ac:dyDescent="0.2">
      <c r="A40" s="894" t="s">
        <v>240</v>
      </c>
      <c r="B40" s="904"/>
      <c r="C40" s="895"/>
      <c r="D40" s="47">
        <f>SUM(D33:D38)</f>
        <v>1250</v>
      </c>
      <c r="E40" s="47">
        <f>SUM(E33:E38)</f>
        <v>1281.25</v>
      </c>
      <c r="F40" s="47">
        <f>SUM(F33:F38)</f>
        <v>1313.2812499999998</v>
      </c>
      <c r="G40" s="894" t="s">
        <v>239</v>
      </c>
      <c r="H40" s="895"/>
      <c r="I40" s="47">
        <f>SUM(I33:I39)</f>
        <v>0</v>
      </c>
      <c r="J40" s="47">
        <f>SUM(J33:J39)</f>
        <v>0</v>
      </c>
      <c r="K40" s="47">
        <f>SUM(K33:K39)</f>
        <v>0</v>
      </c>
      <c r="L40" s="164"/>
    </row>
    <row r="41" spans="1:12" ht="12" customHeight="1" x14ac:dyDescent="0.2">
      <c r="A41" s="888"/>
      <c r="B41" s="888"/>
      <c r="C41" s="888"/>
      <c r="D41" s="47"/>
      <c r="E41" s="47"/>
      <c r="F41" s="47"/>
      <c r="G41" s="889"/>
      <c r="H41" s="890"/>
      <c r="I41" s="47"/>
      <c r="J41" s="47"/>
      <c r="K41" s="47"/>
      <c r="L41" s="164"/>
    </row>
    <row r="42" spans="1:12" ht="12.75" customHeight="1" x14ac:dyDescent="0.2">
      <c r="A42" s="902" t="s">
        <v>238</v>
      </c>
      <c r="B42" s="902"/>
      <c r="C42" s="902"/>
      <c r="D42" s="47">
        <f>+D31+D40</f>
        <v>1250</v>
      </c>
      <c r="E42" s="47">
        <f>+E31+E40</f>
        <v>1281.25</v>
      </c>
      <c r="F42" s="47">
        <f>+F31+F40</f>
        <v>1313.2812499999998</v>
      </c>
      <c r="G42" s="894" t="s">
        <v>237</v>
      </c>
      <c r="H42" s="895"/>
      <c r="I42" s="47">
        <f>+I31+I40</f>
        <v>1250</v>
      </c>
      <c r="J42" s="47">
        <f>+J31+J40</f>
        <v>1281.25</v>
      </c>
      <c r="K42" s="47">
        <f>+K31+K40</f>
        <v>1313.2812499999998</v>
      </c>
      <c r="L42" s="164"/>
    </row>
    <row r="43" spans="1:12" ht="12" customHeight="1" x14ac:dyDescent="0.2">
      <c r="A43" s="888"/>
      <c r="B43" s="888"/>
      <c r="C43" s="888"/>
      <c r="D43" s="47"/>
      <c r="E43" s="47"/>
      <c r="F43" s="47"/>
      <c r="G43" s="897"/>
      <c r="H43" s="898"/>
      <c r="I43" s="47"/>
      <c r="J43" s="47"/>
      <c r="K43" s="47"/>
      <c r="L43" s="164"/>
    </row>
    <row r="44" spans="1:12" ht="12.75" customHeight="1" x14ac:dyDescent="0.2">
      <c r="A44" s="896" t="s">
        <v>236</v>
      </c>
      <c r="B44" s="896"/>
      <c r="C44" s="896"/>
      <c r="D44" s="47">
        <f>+D26+D42</f>
        <v>675354.57499999995</v>
      </c>
      <c r="E44" s="47">
        <f>+E26+E42</f>
        <v>692238.43937499984</v>
      </c>
      <c r="F44" s="47">
        <f>+F26+F42</f>
        <v>709544.40035937494</v>
      </c>
      <c r="G44" s="909" t="s">
        <v>235</v>
      </c>
      <c r="H44" s="910"/>
      <c r="I44" s="47">
        <f>+I26+I42</f>
        <v>675354.57499999995</v>
      </c>
      <c r="J44" s="47">
        <f>+J26+J42</f>
        <v>692238.43937499984</v>
      </c>
      <c r="K44" s="47">
        <f>+K26+K42</f>
        <v>709544.40035937482</v>
      </c>
      <c r="L44" s="164"/>
    </row>
  </sheetData>
  <mergeCells count="83">
    <mergeCell ref="A44:C44"/>
    <mergeCell ref="G44:H44"/>
    <mergeCell ref="A41:C41"/>
    <mergeCell ref="G41:H41"/>
    <mergeCell ref="A42:C42"/>
    <mergeCell ref="G42:H42"/>
    <mergeCell ref="A43:C43"/>
    <mergeCell ref="G43:H43"/>
    <mergeCell ref="A38:C38"/>
    <mergeCell ref="G38:H38"/>
    <mergeCell ref="A39:C39"/>
    <mergeCell ref="G39:H39"/>
    <mergeCell ref="A40:C40"/>
    <mergeCell ref="G40:H40"/>
    <mergeCell ref="A35:C35"/>
    <mergeCell ref="G35:H35"/>
    <mergeCell ref="A36:C36"/>
    <mergeCell ref="G36:H36"/>
    <mergeCell ref="A37:C37"/>
    <mergeCell ref="G37:H37"/>
    <mergeCell ref="A32:C32"/>
    <mergeCell ref="G32:H32"/>
    <mergeCell ref="A33:C33"/>
    <mergeCell ref="G33:H33"/>
    <mergeCell ref="A34:C34"/>
    <mergeCell ref="G34:H34"/>
    <mergeCell ref="A29:C29"/>
    <mergeCell ref="G29:H29"/>
    <mergeCell ref="A30:C30"/>
    <mergeCell ref="G30:H30"/>
    <mergeCell ref="A31:C31"/>
    <mergeCell ref="G31:H31"/>
    <mergeCell ref="A26:C26"/>
    <mergeCell ref="G26:H26"/>
    <mergeCell ref="A27:C27"/>
    <mergeCell ref="G27:H27"/>
    <mergeCell ref="A28:C28"/>
    <mergeCell ref="G28:H28"/>
    <mergeCell ref="A23:C23"/>
    <mergeCell ref="G23:H23"/>
    <mergeCell ref="A24:C24"/>
    <mergeCell ref="G24:H24"/>
    <mergeCell ref="A25:C25"/>
    <mergeCell ref="G25:H25"/>
    <mergeCell ref="A20:C20"/>
    <mergeCell ref="G20:H20"/>
    <mergeCell ref="A21:C21"/>
    <mergeCell ref="G21:H21"/>
    <mergeCell ref="A22:C22"/>
    <mergeCell ref="G22:H22"/>
    <mergeCell ref="A17:C17"/>
    <mergeCell ref="G17:H17"/>
    <mergeCell ref="A18:C18"/>
    <mergeCell ref="G18:H18"/>
    <mergeCell ref="A19:C19"/>
    <mergeCell ref="G19:H19"/>
    <mergeCell ref="A14:C14"/>
    <mergeCell ref="G14:H14"/>
    <mergeCell ref="A15:C15"/>
    <mergeCell ref="G15:H15"/>
    <mergeCell ref="A16:C16"/>
    <mergeCell ref="G16:H16"/>
    <mergeCell ref="A11:C11"/>
    <mergeCell ref="G11:H11"/>
    <mergeCell ref="A12:C12"/>
    <mergeCell ref="G12:H12"/>
    <mergeCell ref="A13:C13"/>
    <mergeCell ref="G13:H13"/>
    <mergeCell ref="A8:C8"/>
    <mergeCell ref="G8:H8"/>
    <mergeCell ref="A9:C9"/>
    <mergeCell ref="G9:H9"/>
    <mergeCell ref="A10:C10"/>
    <mergeCell ref="G10:H10"/>
    <mergeCell ref="A6:C7"/>
    <mergeCell ref="D6:F6"/>
    <mergeCell ref="G6:H7"/>
    <mergeCell ref="I6:K6"/>
    <mergeCell ref="A3:K3"/>
    <mergeCell ref="A4:C4"/>
    <mergeCell ref="G4:H4"/>
    <mergeCell ref="A5:F5"/>
    <mergeCell ref="G5:K5"/>
  </mergeCells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K28" sqref="K28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258" width="9.140625" style="105"/>
    <col min="259" max="259" width="20" style="105" customWidth="1"/>
    <col min="260" max="262" width="10.7109375" style="105" customWidth="1"/>
    <col min="263" max="263" width="6.5703125" style="105" customWidth="1"/>
    <col min="264" max="264" width="32.5703125" style="105" customWidth="1"/>
    <col min="265" max="267" width="10.7109375" style="105" customWidth="1"/>
    <col min="268" max="268" width="15.140625" style="105" customWidth="1"/>
    <col min="269" max="514" width="9.140625" style="105"/>
    <col min="515" max="515" width="20" style="105" customWidth="1"/>
    <col min="516" max="518" width="10.7109375" style="105" customWidth="1"/>
    <col min="519" max="519" width="6.5703125" style="105" customWidth="1"/>
    <col min="520" max="520" width="32.5703125" style="105" customWidth="1"/>
    <col min="521" max="523" width="10.7109375" style="105" customWidth="1"/>
    <col min="524" max="524" width="15.140625" style="105" customWidth="1"/>
    <col min="525" max="770" width="9.140625" style="105"/>
    <col min="771" max="771" width="20" style="105" customWidth="1"/>
    <col min="772" max="774" width="10.7109375" style="105" customWidth="1"/>
    <col min="775" max="775" width="6.5703125" style="105" customWidth="1"/>
    <col min="776" max="776" width="32.5703125" style="105" customWidth="1"/>
    <col min="777" max="779" width="10.7109375" style="105" customWidth="1"/>
    <col min="780" max="780" width="15.140625" style="105" customWidth="1"/>
    <col min="781" max="1026" width="9.140625" style="105"/>
    <col min="1027" max="1027" width="20" style="105" customWidth="1"/>
    <col min="1028" max="1030" width="10.7109375" style="105" customWidth="1"/>
    <col min="1031" max="1031" width="6.5703125" style="105" customWidth="1"/>
    <col min="1032" max="1032" width="32.5703125" style="105" customWidth="1"/>
    <col min="1033" max="1035" width="10.7109375" style="105" customWidth="1"/>
    <col min="1036" max="1036" width="15.140625" style="105" customWidth="1"/>
    <col min="1037" max="1282" width="9.140625" style="105"/>
    <col min="1283" max="1283" width="20" style="105" customWidth="1"/>
    <col min="1284" max="1286" width="10.7109375" style="105" customWidth="1"/>
    <col min="1287" max="1287" width="6.5703125" style="105" customWidth="1"/>
    <col min="1288" max="1288" width="32.5703125" style="105" customWidth="1"/>
    <col min="1289" max="1291" width="10.7109375" style="105" customWidth="1"/>
    <col min="1292" max="1292" width="15.140625" style="105" customWidth="1"/>
    <col min="1293" max="1538" width="9.140625" style="105"/>
    <col min="1539" max="1539" width="20" style="105" customWidth="1"/>
    <col min="1540" max="1542" width="10.7109375" style="105" customWidth="1"/>
    <col min="1543" max="1543" width="6.5703125" style="105" customWidth="1"/>
    <col min="1544" max="1544" width="32.5703125" style="105" customWidth="1"/>
    <col min="1545" max="1547" width="10.7109375" style="105" customWidth="1"/>
    <col min="1548" max="1548" width="15.140625" style="105" customWidth="1"/>
    <col min="1549" max="1794" width="9.140625" style="105"/>
    <col min="1795" max="1795" width="20" style="105" customWidth="1"/>
    <col min="1796" max="1798" width="10.7109375" style="105" customWidth="1"/>
    <col min="1799" max="1799" width="6.5703125" style="105" customWidth="1"/>
    <col min="1800" max="1800" width="32.5703125" style="105" customWidth="1"/>
    <col min="1801" max="1803" width="10.7109375" style="105" customWidth="1"/>
    <col min="1804" max="1804" width="15.140625" style="105" customWidth="1"/>
    <col min="1805" max="2050" width="9.140625" style="105"/>
    <col min="2051" max="2051" width="20" style="105" customWidth="1"/>
    <col min="2052" max="2054" width="10.7109375" style="105" customWidth="1"/>
    <col min="2055" max="2055" width="6.5703125" style="105" customWidth="1"/>
    <col min="2056" max="2056" width="32.5703125" style="105" customWidth="1"/>
    <col min="2057" max="2059" width="10.7109375" style="105" customWidth="1"/>
    <col min="2060" max="2060" width="15.140625" style="105" customWidth="1"/>
    <col min="2061" max="2306" width="9.140625" style="105"/>
    <col min="2307" max="2307" width="20" style="105" customWidth="1"/>
    <col min="2308" max="2310" width="10.7109375" style="105" customWidth="1"/>
    <col min="2311" max="2311" width="6.5703125" style="105" customWidth="1"/>
    <col min="2312" max="2312" width="32.5703125" style="105" customWidth="1"/>
    <col min="2313" max="2315" width="10.7109375" style="105" customWidth="1"/>
    <col min="2316" max="2316" width="15.140625" style="105" customWidth="1"/>
    <col min="2317" max="2562" width="9.140625" style="105"/>
    <col min="2563" max="2563" width="20" style="105" customWidth="1"/>
    <col min="2564" max="2566" width="10.7109375" style="105" customWidth="1"/>
    <col min="2567" max="2567" width="6.5703125" style="105" customWidth="1"/>
    <col min="2568" max="2568" width="32.5703125" style="105" customWidth="1"/>
    <col min="2569" max="2571" width="10.7109375" style="105" customWidth="1"/>
    <col min="2572" max="2572" width="15.140625" style="105" customWidth="1"/>
    <col min="2573" max="2818" width="9.140625" style="105"/>
    <col min="2819" max="2819" width="20" style="105" customWidth="1"/>
    <col min="2820" max="2822" width="10.7109375" style="105" customWidth="1"/>
    <col min="2823" max="2823" width="6.5703125" style="105" customWidth="1"/>
    <col min="2824" max="2824" width="32.5703125" style="105" customWidth="1"/>
    <col min="2825" max="2827" width="10.7109375" style="105" customWidth="1"/>
    <col min="2828" max="2828" width="15.140625" style="105" customWidth="1"/>
    <col min="2829" max="3074" width="9.140625" style="105"/>
    <col min="3075" max="3075" width="20" style="105" customWidth="1"/>
    <col min="3076" max="3078" width="10.7109375" style="105" customWidth="1"/>
    <col min="3079" max="3079" width="6.5703125" style="105" customWidth="1"/>
    <col min="3080" max="3080" width="32.5703125" style="105" customWidth="1"/>
    <col min="3081" max="3083" width="10.7109375" style="105" customWidth="1"/>
    <col min="3084" max="3084" width="15.140625" style="105" customWidth="1"/>
    <col min="3085" max="3330" width="9.140625" style="105"/>
    <col min="3331" max="3331" width="20" style="105" customWidth="1"/>
    <col min="3332" max="3334" width="10.7109375" style="105" customWidth="1"/>
    <col min="3335" max="3335" width="6.5703125" style="105" customWidth="1"/>
    <col min="3336" max="3336" width="32.5703125" style="105" customWidth="1"/>
    <col min="3337" max="3339" width="10.7109375" style="105" customWidth="1"/>
    <col min="3340" max="3340" width="15.140625" style="105" customWidth="1"/>
    <col min="3341" max="3586" width="9.140625" style="105"/>
    <col min="3587" max="3587" width="20" style="105" customWidth="1"/>
    <col min="3588" max="3590" width="10.7109375" style="105" customWidth="1"/>
    <col min="3591" max="3591" width="6.5703125" style="105" customWidth="1"/>
    <col min="3592" max="3592" width="32.5703125" style="105" customWidth="1"/>
    <col min="3593" max="3595" width="10.7109375" style="105" customWidth="1"/>
    <col min="3596" max="3596" width="15.140625" style="105" customWidth="1"/>
    <col min="3597" max="3842" width="9.140625" style="105"/>
    <col min="3843" max="3843" width="20" style="105" customWidth="1"/>
    <col min="3844" max="3846" width="10.7109375" style="105" customWidth="1"/>
    <col min="3847" max="3847" width="6.5703125" style="105" customWidth="1"/>
    <col min="3848" max="3848" width="32.5703125" style="105" customWidth="1"/>
    <col min="3849" max="3851" width="10.7109375" style="105" customWidth="1"/>
    <col min="3852" max="3852" width="15.140625" style="105" customWidth="1"/>
    <col min="3853" max="4098" width="9.140625" style="105"/>
    <col min="4099" max="4099" width="20" style="105" customWidth="1"/>
    <col min="4100" max="4102" width="10.7109375" style="105" customWidth="1"/>
    <col min="4103" max="4103" width="6.5703125" style="105" customWidth="1"/>
    <col min="4104" max="4104" width="32.5703125" style="105" customWidth="1"/>
    <col min="4105" max="4107" width="10.7109375" style="105" customWidth="1"/>
    <col min="4108" max="4108" width="15.140625" style="105" customWidth="1"/>
    <col min="4109" max="4354" width="9.140625" style="105"/>
    <col min="4355" max="4355" width="20" style="105" customWidth="1"/>
    <col min="4356" max="4358" width="10.7109375" style="105" customWidth="1"/>
    <col min="4359" max="4359" width="6.5703125" style="105" customWidth="1"/>
    <col min="4360" max="4360" width="32.5703125" style="105" customWidth="1"/>
    <col min="4361" max="4363" width="10.7109375" style="105" customWidth="1"/>
    <col min="4364" max="4364" width="15.140625" style="105" customWidth="1"/>
    <col min="4365" max="4610" width="9.140625" style="105"/>
    <col min="4611" max="4611" width="20" style="105" customWidth="1"/>
    <col min="4612" max="4614" width="10.7109375" style="105" customWidth="1"/>
    <col min="4615" max="4615" width="6.5703125" style="105" customWidth="1"/>
    <col min="4616" max="4616" width="32.5703125" style="105" customWidth="1"/>
    <col min="4617" max="4619" width="10.7109375" style="105" customWidth="1"/>
    <col min="4620" max="4620" width="15.140625" style="105" customWidth="1"/>
    <col min="4621" max="4866" width="9.140625" style="105"/>
    <col min="4867" max="4867" width="20" style="105" customWidth="1"/>
    <col min="4868" max="4870" width="10.7109375" style="105" customWidth="1"/>
    <col min="4871" max="4871" width="6.5703125" style="105" customWidth="1"/>
    <col min="4872" max="4872" width="32.5703125" style="105" customWidth="1"/>
    <col min="4873" max="4875" width="10.7109375" style="105" customWidth="1"/>
    <col min="4876" max="4876" width="15.140625" style="105" customWidth="1"/>
    <col min="4877" max="5122" width="9.140625" style="105"/>
    <col min="5123" max="5123" width="20" style="105" customWidth="1"/>
    <col min="5124" max="5126" width="10.7109375" style="105" customWidth="1"/>
    <col min="5127" max="5127" width="6.5703125" style="105" customWidth="1"/>
    <col min="5128" max="5128" width="32.5703125" style="105" customWidth="1"/>
    <col min="5129" max="5131" width="10.7109375" style="105" customWidth="1"/>
    <col min="5132" max="5132" width="15.140625" style="105" customWidth="1"/>
    <col min="5133" max="5378" width="9.140625" style="105"/>
    <col min="5379" max="5379" width="20" style="105" customWidth="1"/>
    <col min="5380" max="5382" width="10.7109375" style="105" customWidth="1"/>
    <col min="5383" max="5383" width="6.5703125" style="105" customWidth="1"/>
    <col min="5384" max="5384" width="32.5703125" style="105" customWidth="1"/>
    <col min="5385" max="5387" width="10.7109375" style="105" customWidth="1"/>
    <col min="5388" max="5388" width="15.140625" style="105" customWidth="1"/>
    <col min="5389" max="5634" width="9.140625" style="105"/>
    <col min="5635" max="5635" width="20" style="105" customWidth="1"/>
    <col min="5636" max="5638" width="10.7109375" style="105" customWidth="1"/>
    <col min="5639" max="5639" width="6.5703125" style="105" customWidth="1"/>
    <col min="5640" max="5640" width="32.5703125" style="105" customWidth="1"/>
    <col min="5641" max="5643" width="10.7109375" style="105" customWidth="1"/>
    <col min="5644" max="5644" width="15.140625" style="105" customWidth="1"/>
    <col min="5645" max="5890" width="9.140625" style="105"/>
    <col min="5891" max="5891" width="20" style="105" customWidth="1"/>
    <col min="5892" max="5894" width="10.7109375" style="105" customWidth="1"/>
    <col min="5895" max="5895" width="6.5703125" style="105" customWidth="1"/>
    <col min="5896" max="5896" width="32.5703125" style="105" customWidth="1"/>
    <col min="5897" max="5899" width="10.7109375" style="105" customWidth="1"/>
    <col min="5900" max="5900" width="15.140625" style="105" customWidth="1"/>
    <col min="5901" max="6146" width="9.140625" style="105"/>
    <col min="6147" max="6147" width="20" style="105" customWidth="1"/>
    <col min="6148" max="6150" width="10.7109375" style="105" customWidth="1"/>
    <col min="6151" max="6151" width="6.5703125" style="105" customWidth="1"/>
    <col min="6152" max="6152" width="32.5703125" style="105" customWidth="1"/>
    <col min="6153" max="6155" width="10.7109375" style="105" customWidth="1"/>
    <col min="6156" max="6156" width="15.140625" style="105" customWidth="1"/>
    <col min="6157" max="6402" width="9.140625" style="105"/>
    <col min="6403" max="6403" width="20" style="105" customWidth="1"/>
    <col min="6404" max="6406" width="10.7109375" style="105" customWidth="1"/>
    <col min="6407" max="6407" width="6.5703125" style="105" customWidth="1"/>
    <col min="6408" max="6408" width="32.5703125" style="105" customWidth="1"/>
    <col min="6409" max="6411" width="10.7109375" style="105" customWidth="1"/>
    <col min="6412" max="6412" width="15.140625" style="105" customWidth="1"/>
    <col min="6413" max="6658" width="9.140625" style="105"/>
    <col min="6659" max="6659" width="20" style="105" customWidth="1"/>
    <col min="6660" max="6662" width="10.7109375" style="105" customWidth="1"/>
    <col min="6663" max="6663" width="6.5703125" style="105" customWidth="1"/>
    <col min="6664" max="6664" width="32.5703125" style="105" customWidth="1"/>
    <col min="6665" max="6667" width="10.7109375" style="105" customWidth="1"/>
    <col min="6668" max="6668" width="15.140625" style="105" customWidth="1"/>
    <col min="6669" max="6914" width="9.140625" style="105"/>
    <col min="6915" max="6915" width="20" style="105" customWidth="1"/>
    <col min="6916" max="6918" width="10.7109375" style="105" customWidth="1"/>
    <col min="6919" max="6919" width="6.5703125" style="105" customWidth="1"/>
    <col min="6920" max="6920" width="32.5703125" style="105" customWidth="1"/>
    <col min="6921" max="6923" width="10.7109375" style="105" customWidth="1"/>
    <col min="6924" max="6924" width="15.140625" style="105" customWidth="1"/>
    <col min="6925" max="7170" width="9.140625" style="105"/>
    <col min="7171" max="7171" width="20" style="105" customWidth="1"/>
    <col min="7172" max="7174" width="10.7109375" style="105" customWidth="1"/>
    <col min="7175" max="7175" width="6.5703125" style="105" customWidth="1"/>
    <col min="7176" max="7176" width="32.5703125" style="105" customWidth="1"/>
    <col min="7177" max="7179" width="10.7109375" style="105" customWidth="1"/>
    <col min="7180" max="7180" width="15.140625" style="105" customWidth="1"/>
    <col min="7181" max="7426" width="9.140625" style="105"/>
    <col min="7427" max="7427" width="20" style="105" customWidth="1"/>
    <col min="7428" max="7430" width="10.7109375" style="105" customWidth="1"/>
    <col min="7431" max="7431" width="6.5703125" style="105" customWidth="1"/>
    <col min="7432" max="7432" width="32.5703125" style="105" customWidth="1"/>
    <col min="7433" max="7435" width="10.7109375" style="105" customWidth="1"/>
    <col min="7436" max="7436" width="15.140625" style="105" customWidth="1"/>
    <col min="7437" max="7682" width="9.140625" style="105"/>
    <col min="7683" max="7683" width="20" style="105" customWidth="1"/>
    <col min="7684" max="7686" width="10.7109375" style="105" customWidth="1"/>
    <col min="7687" max="7687" width="6.5703125" style="105" customWidth="1"/>
    <col min="7688" max="7688" width="32.5703125" style="105" customWidth="1"/>
    <col min="7689" max="7691" width="10.7109375" style="105" customWidth="1"/>
    <col min="7692" max="7692" width="15.140625" style="105" customWidth="1"/>
    <col min="7693" max="7938" width="9.140625" style="105"/>
    <col min="7939" max="7939" width="20" style="105" customWidth="1"/>
    <col min="7940" max="7942" width="10.7109375" style="105" customWidth="1"/>
    <col min="7943" max="7943" width="6.5703125" style="105" customWidth="1"/>
    <col min="7944" max="7944" width="32.5703125" style="105" customWidth="1"/>
    <col min="7945" max="7947" width="10.7109375" style="105" customWidth="1"/>
    <col min="7948" max="7948" width="15.140625" style="105" customWidth="1"/>
    <col min="7949" max="8194" width="9.140625" style="105"/>
    <col min="8195" max="8195" width="20" style="105" customWidth="1"/>
    <col min="8196" max="8198" width="10.7109375" style="105" customWidth="1"/>
    <col min="8199" max="8199" width="6.5703125" style="105" customWidth="1"/>
    <col min="8200" max="8200" width="32.5703125" style="105" customWidth="1"/>
    <col min="8201" max="8203" width="10.7109375" style="105" customWidth="1"/>
    <col min="8204" max="8204" width="15.140625" style="105" customWidth="1"/>
    <col min="8205" max="8450" width="9.140625" style="105"/>
    <col min="8451" max="8451" width="20" style="105" customWidth="1"/>
    <col min="8452" max="8454" width="10.7109375" style="105" customWidth="1"/>
    <col min="8455" max="8455" width="6.5703125" style="105" customWidth="1"/>
    <col min="8456" max="8456" width="32.5703125" style="105" customWidth="1"/>
    <col min="8457" max="8459" width="10.7109375" style="105" customWidth="1"/>
    <col min="8460" max="8460" width="15.140625" style="105" customWidth="1"/>
    <col min="8461" max="8706" width="9.140625" style="105"/>
    <col min="8707" max="8707" width="20" style="105" customWidth="1"/>
    <col min="8708" max="8710" width="10.7109375" style="105" customWidth="1"/>
    <col min="8711" max="8711" width="6.5703125" style="105" customWidth="1"/>
    <col min="8712" max="8712" width="32.5703125" style="105" customWidth="1"/>
    <col min="8713" max="8715" width="10.7109375" style="105" customWidth="1"/>
    <col min="8716" max="8716" width="15.140625" style="105" customWidth="1"/>
    <col min="8717" max="8962" width="9.140625" style="105"/>
    <col min="8963" max="8963" width="20" style="105" customWidth="1"/>
    <col min="8964" max="8966" width="10.7109375" style="105" customWidth="1"/>
    <col min="8967" max="8967" width="6.5703125" style="105" customWidth="1"/>
    <col min="8968" max="8968" width="32.5703125" style="105" customWidth="1"/>
    <col min="8969" max="8971" width="10.7109375" style="105" customWidth="1"/>
    <col min="8972" max="8972" width="15.140625" style="105" customWidth="1"/>
    <col min="8973" max="9218" width="9.140625" style="105"/>
    <col min="9219" max="9219" width="20" style="105" customWidth="1"/>
    <col min="9220" max="9222" width="10.7109375" style="105" customWidth="1"/>
    <col min="9223" max="9223" width="6.5703125" style="105" customWidth="1"/>
    <col min="9224" max="9224" width="32.5703125" style="105" customWidth="1"/>
    <col min="9225" max="9227" width="10.7109375" style="105" customWidth="1"/>
    <col min="9228" max="9228" width="15.140625" style="105" customWidth="1"/>
    <col min="9229" max="9474" width="9.140625" style="105"/>
    <col min="9475" max="9475" width="20" style="105" customWidth="1"/>
    <col min="9476" max="9478" width="10.7109375" style="105" customWidth="1"/>
    <col min="9479" max="9479" width="6.5703125" style="105" customWidth="1"/>
    <col min="9480" max="9480" width="32.5703125" style="105" customWidth="1"/>
    <col min="9481" max="9483" width="10.7109375" style="105" customWidth="1"/>
    <col min="9484" max="9484" width="15.140625" style="105" customWidth="1"/>
    <col min="9485" max="9730" width="9.140625" style="105"/>
    <col min="9731" max="9731" width="20" style="105" customWidth="1"/>
    <col min="9732" max="9734" width="10.7109375" style="105" customWidth="1"/>
    <col min="9735" max="9735" width="6.5703125" style="105" customWidth="1"/>
    <col min="9736" max="9736" width="32.5703125" style="105" customWidth="1"/>
    <col min="9737" max="9739" width="10.7109375" style="105" customWidth="1"/>
    <col min="9740" max="9740" width="15.140625" style="105" customWidth="1"/>
    <col min="9741" max="9986" width="9.140625" style="105"/>
    <col min="9987" max="9987" width="20" style="105" customWidth="1"/>
    <col min="9988" max="9990" width="10.7109375" style="105" customWidth="1"/>
    <col min="9991" max="9991" width="6.5703125" style="105" customWidth="1"/>
    <col min="9992" max="9992" width="32.5703125" style="105" customWidth="1"/>
    <col min="9993" max="9995" width="10.7109375" style="105" customWidth="1"/>
    <col min="9996" max="9996" width="15.140625" style="105" customWidth="1"/>
    <col min="9997" max="10242" width="9.140625" style="105"/>
    <col min="10243" max="10243" width="20" style="105" customWidth="1"/>
    <col min="10244" max="10246" width="10.7109375" style="105" customWidth="1"/>
    <col min="10247" max="10247" width="6.5703125" style="105" customWidth="1"/>
    <col min="10248" max="10248" width="32.5703125" style="105" customWidth="1"/>
    <col min="10249" max="10251" width="10.7109375" style="105" customWidth="1"/>
    <col min="10252" max="10252" width="15.140625" style="105" customWidth="1"/>
    <col min="10253" max="10498" width="9.140625" style="105"/>
    <col min="10499" max="10499" width="20" style="105" customWidth="1"/>
    <col min="10500" max="10502" width="10.7109375" style="105" customWidth="1"/>
    <col min="10503" max="10503" width="6.5703125" style="105" customWidth="1"/>
    <col min="10504" max="10504" width="32.5703125" style="105" customWidth="1"/>
    <col min="10505" max="10507" width="10.7109375" style="105" customWidth="1"/>
    <col min="10508" max="10508" width="15.140625" style="105" customWidth="1"/>
    <col min="10509" max="10754" width="9.140625" style="105"/>
    <col min="10755" max="10755" width="20" style="105" customWidth="1"/>
    <col min="10756" max="10758" width="10.7109375" style="105" customWidth="1"/>
    <col min="10759" max="10759" width="6.5703125" style="105" customWidth="1"/>
    <col min="10760" max="10760" width="32.5703125" style="105" customWidth="1"/>
    <col min="10761" max="10763" width="10.7109375" style="105" customWidth="1"/>
    <col min="10764" max="10764" width="15.140625" style="105" customWidth="1"/>
    <col min="10765" max="11010" width="9.140625" style="105"/>
    <col min="11011" max="11011" width="20" style="105" customWidth="1"/>
    <col min="11012" max="11014" width="10.7109375" style="105" customWidth="1"/>
    <col min="11015" max="11015" width="6.5703125" style="105" customWidth="1"/>
    <col min="11016" max="11016" width="32.5703125" style="105" customWidth="1"/>
    <col min="11017" max="11019" width="10.7109375" style="105" customWidth="1"/>
    <col min="11020" max="11020" width="15.140625" style="105" customWidth="1"/>
    <col min="11021" max="11266" width="9.140625" style="105"/>
    <col min="11267" max="11267" width="20" style="105" customWidth="1"/>
    <col min="11268" max="11270" width="10.7109375" style="105" customWidth="1"/>
    <col min="11271" max="11271" width="6.5703125" style="105" customWidth="1"/>
    <col min="11272" max="11272" width="32.5703125" style="105" customWidth="1"/>
    <col min="11273" max="11275" width="10.7109375" style="105" customWidth="1"/>
    <col min="11276" max="11276" width="15.140625" style="105" customWidth="1"/>
    <col min="11277" max="11522" width="9.140625" style="105"/>
    <col min="11523" max="11523" width="20" style="105" customWidth="1"/>
    <col min="11524" max="11526" width="10.7109375" style="105" customWidth="1"/>
    <col min="11527" max="11527" width="6.5703125" style="105" customWidth="1"/>
    <col min="11528" max="11528" width="32.5703125" style="105" customWidth="1"/>
    <col min="11529" max="11531" width="10.7109375" style="105" customWidth="1"/>
    <col min="11532" max="11532" width="15.140625" style="105" customWidth="1"/>
    <col min="11533" max="11778" width="9.140625" style="105"/>
    <col min="11779" max="11779" width="20" style="105" customWidth="1"/>
    <col min="11780" max="11782" width="10.7109375" style="105" customWidth="1"/>
    <col min="11783" max="11783" width="6.5703125" style="105" customWidth="1"/>
    <col min="11784" max="11784" width="32.5703125" style="105" customWidth="1"/>
    <col min="11785" max="11787" width="10.7109375" style="105" customWidth="1"/>
    <col min="11788" max="11788" width="15.140625" style="105" customWidth="1"/>
    <col min="11789" max="12034" width="9.140625" style="105"/>
    <col min="12035" max="12035" width="20" style="105" customWidth="1"/>
    <col min="12036" max="12038" width="10.7109375" style="105" customWidth="1"/>
    <col min="12039" max="12039" width="6.5703125" style="105" customWidth="1"/>
    <col min="12040" max="12040" width="32.5703125" style="105" customWidth="1"/>
    <col min="12041" max="12043" width="10.7109375" style="105" customWidth="1"/>
    <col min="12044" max="12044" width="15.140625" style="105" customWidth="1"/>
    <col min="12045" max="12290" width="9.140625" style="105"/>
    <col min="12291" max="12291" width="20" style="105" customWidth="1"/>
    <col min="12292" max="12294" width="10.7109375" style="105" customWidth="1"/>
    <col min="12295" max="12295" width="6.5703125" style="105" customWidth="1"/>
    <col min="12296" max="12296" width="32.5703125" style="105" customWidth="1"/>
    <col min="12297" max="12299" width="10.7109375" style="105" customWidth="1"/>
    <col min="12300" max="12300" width="15.140625" style="105" customWidth="1"/>
    <col min="12301" max="12546" width="9.140625" style="105"/>
    <col min="12547" max="12547" width="20" style="105" customWidth="1"/>
    <col min="12548" max="12550" width="10.7109375" style="105" customWidth="1"/>
    <col min="12551" max="12551" width="6.5703125" style="105" customWidth="1"/>
    <col min="12552" max="12552" width="32.5703125" style="105" customWidth="1"/>
    <col min="12553" max="12555" width="10.7109375" style="105" customWidth="1"/>
    <col min="12556" max="12556" width="15.140625" style="105" customWidth="1"/>
    <col min="12557" max="12802" width="9.140625" style="105"/>
    <col min="12803" max="12803" width="20" style="105" customWidth="1"/>
    <col min="12804" max="12806" width="10.7109375" style="105" customWidth="1"/>
    <col min="12807" max="12807" width="6.5703125" style="105" customWidth="1"/>
    <col min="12808" max="12808" width="32.5703125" style="105" customWidth="1"/>
    <col min="12809" max="12811" width="10.7109375" style="105" customWidth="1"/>
    <col min="12812" max="12812" width="15.140625" style="105" customWidth="1"/>
    <col min="12813" max="13058" width="9.140625" style="105"/>
    <col min="13059" max="13059" width="20" style="105" customWidth="1"/>
    <col min="13060" max="13062" width="10.7109375" style="105" customWidth="1"/>
    <col min="13063" max="13063" width="6.5703125" style="105" customWidth="1"/>
    <col min="13064" max="13064" width="32.5703125" style="105" customWidth="1"/>
    <col min="13065" max="13067" width="10.7109375" style="105" customWidth="1"/>
    <col min="13068" max="13068" width="15.140625" style="105" customWidth="1"/>
    <col min="13069" max="13314" width="9.140625" style="105"/>
    <col min="13315" max="13315" width="20" style="105" customWidth="1"/>
    <col min="13316" max="13318" width="10.7109375" style="105" customWidth="1"/>
    <col min="13319" max="13319" width="6.5703125" style="105" customWidth="1"/>
    <col min="13320" max="13320" width="32.5703125" style="105" customWidth="1"/>
    <col min="13321" max="13323" width="10.7109375" style="105" customWidth="1"/>
    <col min="13324" max="13324" width="15.140625" style="105" customWidth="1"/>
    <col min="13325" max="13570" width="9.140625" style="105"/>
    <col min="13571" max="13571" width="20" style="105" customWidth="1"/>
    <col min="13572" max="13574" width="10.7109375" style="105" customWidth="1"/>
    <col min="13575" max="13575" width="6.5703125" style="105" customWidth="1"/>
    <col min="13576" max="13576" width="32.5703125" style="105" customWidth="1"/>
    <col min="13577" max="13579" width="10.7109375" style="105" customWidth="1"/>
    <col min="13580" max="13580" width="15.140625" style="105" customWidth="1"/>
    <col min="13581" max="13826" width="9.140625" style="105"/>
    <col min="13827" max="13827" width="20" style="105" customWidth="1"/>
    <col min="13828" max="13830" width="10.7109375" style="105" customWidth="1"/>
    <col min="13831" max="13831" width="6.5703125" style="105" customWidth="1"/>
    <col min="13832" max="13832" width="32.5703125" style="105" customWidth="1"/>
    <col min="13833" max="13835" width="10.7109375" style="105" customWidth="1"/>
    <col min="13836" max="13836" width="15.140625" style="105" customWidth="1"/>
    <col min="13837" max="14082" width="9.140625" style="105"/>
    <col min="14083" max="14083" width="20" style="105" customWidth="1"/>
    <col min="14084" max="14086" width="10.7109375" style="105" customWidth="1"/>
    <col min="14087" max="14087" width="6.5703125" style="105" customWidth="1"/>
    <col min="14088" max="14088" width="32.5703125" style="105" customWidth="1"/>
    <col min="14089" max="14091" width="10.7109375" style="105" customWidth="1"/>
    <col min="14092" max="14092" width="15.140625" style="105" customWidth="1"/>
    <col min="14093" max="14338" width="9.140625" style="105"/>
    <col min="14339" max="14339" width="20" style="105" customWidth="1"/>
    <col min="14340" max="14342" width="10.7109375" style="105" customWidth="1"/>
    <col min="14343" max="14343" width="6.5703125" style="105" customWidth="1"/>
    <col min="14344" max="14344" width="32.5703125" style="105" customWidth="1"/>
    <col min="14345" max="14347" width="10.7109375" style="105" customWidth="1"/>
    <col min="14348" max="14348" width="15.140625" style="105" customWidth="1"/>
    <col min="14349" max="14594" width="9.140625" style="105"/>
    <col min="14595" max="14595" width="20" style="105" customWidth="1"/>
    <col min="14596" max="14598" width="10.7109375" style="105" customWidth="1"/>
    <col min="14599" max="14599" width="6.5703125" style="105" customWidth="1"/>
    <col min="14600" max="14600" width="32.5703125" style="105" customWidth="1"/>
    <col min="14601" max="14603" width="10.7109375" style="105" customWidth="1"/>
    <col min="14604" max="14604" width="15.140625" style="105" customWidth="1"/>
    <col min="14605" max="14850" width="9.140625" style="105"/>
    <col min="14851" max="14851" width="20" style="105" customWidth="1"/>
    <col min="14852" max="14854" width="10.7109375" style="105" customWidth="1"/>
    <col min="14855" max="14855" width="6.5703125" style="105" customWidth="1"/>
    <col min="14856" max="14856" width="32.5703125" style="105" customWidth="1"/>
    <col min="14857" max="14859" width="10.7109375" style="105" customWidth="1"/>
    <col min="14860" max="14860" width="15.140625" style="105" customWidth="1"/>
    <col min="14861" max="15106" width="9.140625" style="105"/>
    <col min="15107" max="15107" width="20" style="105" customWidth="1"/>
    <col min="15108" max="15110" width="10.7109375" style="105" customWidth="1"/>
    <col min="15111" max="15111" width="6.5703125" style="105" customWidth="1"/>
    <col min="15112" max="15112" width="32.5703125" style="105" customWidth="1"/>
    <col min="15113" max="15115" width="10.7109375" style="105" customWidth="1"/>
    <col min="15116" max="15116" width="15.140625" style="105" customWidth="1"/>
    <col min="15117" max="15362" width="9.140625" style="105"/>
    <col min="15363" max="15363" width="20" style="105" customWidth="1"/>
    <col min="15364" max="15366" width="10.7109375" style="105" customWidth="1"/>
    <col min="15367" max="15367" width="6.5703125" style="105" customWidth="1"/>
    <col min="15368" max="15368" width="32.5703125" style="105" customWidth="1"/>
    <col min="15369" max="15371" width="10.7109375" style="105" customWidth="1"/>
    <col min="15372" max="15372" width="15.140625" style="105" customWidth="1"/>
    <col min="15373" max="15618" width="9.140625" style="105"/>
    <col min="15619" max="15619" width="20" style="105" customWidth="1"/>
    <col min="15620" max="15622" width="10.7109375" style="105" customWidth="1"/>
    <col min="15623" max="15623" width="6.5703125" style="105" customWidth="1"/>
    <col min="15624" max="15624" width="32.5703125" style="105" customWidth="1"/>
    <col min="15625" max="15627" width="10.7109375" style="105" customWidth="1"/>
    <col min="15628" max="15628" width="15.140625" style="105" customWidth="1"/>
    <col min="15629" max="15874" width="9.140625" style="105"/>
    <col min="15875" max="15875" width="20" style="105" customWidth="1"/>
    <col min="15876" max="15878" width="10.7109375" style="105" customWidth="1"/>
    <col min="15879" max="15879" width="6.5703125" style="105" customWidth="1"/>
    <col min="15880" max="15880" width="32.5703125" style="105" customWidth="1"/>
    <col min="15881" max="15883" width="10.7109375" style="105" customWidth="1"/>
    <col min="15884" max="15884" width="15.140625" style="105" customWidth="1"/>
    <col min="15885" max="16130" width="9.140625" style="105"/>
    <col min="16131" max="16131" width="20" style="105" customWidth="1"/>
    <col min="16132" max="16134" width="10.7109375" style="105" customWidth="1"/>
    <col min="16135" max="16135" width="6.5703125" style="105" customWidth="1"/>
    <col min="16136" max="16136" width="32.5703125" style="105" customWidth="1"/>
    <col min="16137" max="16139" width="10.7109375" style="105" customWidth="1"/>
    <col min="16140" max="16140" width="15.140625" style="105" customWidth="1"/>
    <col min="16141" max="16384" width="9.140625" style="105"/>
  </cols>
  <sheetData>
    <row r="1" spans="1:12" ht="12" customHeight="1" x14ac:dyDescent="0.2">
      <c r="A1" s="105" t="s">
        <v>454</v>
      </c>
      <c r="H1" s="588"/>
      <c r="J1" s="492"/>
      <c r="K1" s="543" t="s">
        <v>1842</v>
      </c>
      <c r="L1" s="492"/>
    </row>
    <row r="2" spans="1:12" ht="12" customHeight="1" x14ac:dyDescent="0.2">
      <c r="H2" s="588"/>
      <c r="J2" s="492"/>
      <c r="K2" s="492"/>
      <c r="L2" s="492"/>
    </row>
    <row r="3" spans="1:12" ht="12" customHeight="1" x14ac:dyDescent="0.2">
      <c r="A3" s="862" t="s">
        <v>282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528"/>
    </row>
    <row r="4" spans="1:12" ht="12" customHeight="1" x14ac:dyDescent="0.2">
      <c r="A4" s="905"/>
      <c r="B4" s="905"/>
      <c r="C4" s="905"/>
      <c r="D4" s="589"/>
      <c r="E4" s="589"/>
      <c r="F4" s="108"/>
      <c r="G4" s="906"/>
      <c r="H4" s="906"/>
      <c r="J4" s="497"/>
      <c r="K4" s="497" t="s">
        <v>281</v>
      </c>
      <c r="L4" s="497"/>
    </row>
    <row r="5" spans="1:12" ht="12" customHeight="1" x14ac:dyDescent="0.2">
      <c r="A5" s="864" t="s">
        <v>3</v>
      </c>
      <c r="B5" s="864"/>
      <c r="C5" s="864"/>
      <c r="D5" s="864"/>
      <c r="E5" s="864"/>
      <c r="F5" s="864"/>
      <c r="G5" s="864" t="s">
        <v>4</v>
      </c>
      <c r="H5" s="864"/>
      <c r="I5" s="864"/>
      <c r="J5" s="864"/>
      <c r="K5" s="864"/>
      <c r="L5" s="35"/>
    </row>
    <row r="6" spans="1:12" x14ac:dyDescent="0.2">
      <c r="A6" s="843" t="s">
        <v>50</v>
      </c>
      <c r="B6" s="844"/>
      <c r="C6" s="845"/>
      <c r="D6" s="692" t="s">
        <v>280</v>
      </c>
      <c r="E6" s="693"/>
      <c r="F6" s="694"/>
      <c r="G6" s="843" t="s">
        <v>50</v>
      </c>
      <c r="H6" s="845"/>
      <c r="I6" s="864" t="s">
        <v>280</v>
      </c>
      <c r="J6" s="864"/>
      <c r="K6" s="864"/>
      <c r="L6" s="35"/>
    </row>
    <row r="7" spans="1:12" x14ac:dyDescent="0.2">
      <c r="A7" s="846"/>
      <c r="B7" s="847"/>
      <c r="C7" s="848"/>
      <c r="D7" s="529">
        <v>2015</v>
      </c>
      <c r="E7" s="529">
        <v>2016</v>
      </c>
      <c r="F7" s="529">
        <v>2017</v>
      </c>
      <c r="G7" s="846"/>
      <c r="H7" s="848"/>
      <c r="I7" s="529">
        <v>2015</v>
      </c>
      <c r="J7" s="529">
        <v>2016</v>
      </c>
      <c r="K7" s="529">
        <v>2017</v>
      </c>
      <c r="L7" s="35"/>
    </row>
    <row r="8" spans="1:12" ht="12" customHeight="1" x14ac:dyDescent="0.2">
      <c r="A8" s="889" t="s">
        <v>279</v>
      </c>
      <c r="B8" s="899"/>
      <c r="C8" s="890"/>
      <c r="D8" s="46"/>
      <c r="E8" s="46"/>
      <c r="F8" s="46"/>
      <c r="G8" s="889" t="s">
        <v>278</v>
      </c>
      <c r="H8" s="890"/>
      <c r="I8" s="46">
        <v>72054</v>
      </c>
      <c r="J8" s="46">
        <v>74215</v>
      </c>
      <c r="K8" s="46">
        <v>76442</v>
      </c>
      <c r="L8" s="164"/>
    </row>
    <row r="9" spans="1:12" ht="12" customHeight="1" x14ac:dyDescent="0.2">
      <c r="A9" s="889" t="s">
        <v>277</v>
      </c>
      <c r="B9" s="899"/>
      <c r="C9" s="890"/>
      <c r="D9" s="46"/>
      <c r="E9" s="46"/>
      <c r="F9" s="46"/>
      <c r="G9" s="888" t="s">
        <v>276</v>
      </c>
      <c r="H9" s="888"/>
      <c r="I9" s="46">
        <v>21670</v>
      </c>
      <c r="J9" s="46">
        <v>22320</v>
      </c>
      <c r="K9" s="46">
        <v>22990</v>
      </c>
      <c r="L9" s="164"/>
    </row>
    <row r="10" spans="1:12" ht="12" customHeight="1" x14ac:dyDescent="0.2">
      <c r="A10" s="889" t="s">
        <v>275</v>
      </c>
      <c r="B10" s="899"/>
      <c r="C10" s="890"/>
      <c r="D10" s="46">
        <v>30555</v>
      </c>
      <c r="E10" s="46">
        <v>31472</v>
      </c>
      <c r="F10" s="46">
        <v>32416</v>
      </c>
      <c r="G10" s="888" t="s">
        <v>274</v>
      </c>
      <c r="H10" s="888"/>
      <c r="I10" s="46">
        <v>37357</v>
      </c>
      <c r="J10" s="46">
        <v>38478</v>
      </c>
      <c r="K10" s="46">
        <v>39632</v>
      </c>
      <c r="L10" s="164"/>
    </row>
    <row r="11" spans="1:12" ht="12" customHeight="1" x14ac:dyDescent="0.2">
      <c r="A11" s="889" t="s">
        <v>273</v>
      </c>
      <c r="B11" s="899"/>
      <c r="C11" s="890"/>
      <c r="D11" s="46"/>
      <c r="E11" s="46"/>
      <c r="F11" s="46"/>
      <c r="G11" s="888" t="s">
        <v>272</v>
      </c>
      <c r="H11" s="888"/>
      <c r="I11" s="46"/>
      <c r="J11" s="46"/>
      <c r="K11" s="46"/>
      <c r="L11" s="164"/>
    </row>
    <row r="12" spans="1:12" ht="12" customHeight="1" x14ac:dyDescent="0.2">
      <c r="A12" s="888"/>
      <c r="B12" s="888"/>
      <c r="C12" s="888"/>
      <c r="D12" s="46"/>
      <c r="E12" s="46"/>
      <c r="F12" s="46"/>
      <c r="G12" s="888" t="s">
        <v>271</v>
      </c>
      <c r="H12" s="888"/>
      <c r="I12" s="46"/>
      <c r="J12" s="46"/>
      <c r="K12" s="46"/>
      <c r="L12" s="164"/>
    </row>
    <row r="13" spans="1:12" ht="12" customHeight="1" x14ac:dyDescent="0.2">
      <c r="A13" s="902"/>
      <c r="B13" s="902"/>
      <c r="C13" s="902"/>
      <c r="D13" s="46"/>
      <c r="E13" s="46"/>
      <c r="F13" s="46"/>
      <c r="G13" s="900" t="s">
        <v>270</v>
      </c>
      <c r="H13" s="901"/>
      <c r="I13" s="46"/>
      <c r="J13" s="46"/>
      <c r="K13" s="46"/>
      <c r="L13" s="164"/>
    </row>
    <row r="14" spans="1:12" ht="12" customHeight="1" x14ac:dyDescent="0.2">
      <c r="A14" s="903"/>
      <c r="B14" s="903"/>
      <c r="C14" s="903"/>
      <c r="D14" s="46"/>
      <c r="E14" s="46"/>
      <c r="F14" s="46"/>
      <c r="G14" s="889" t="s">
        <v>269</v>
      </c>
      <c r="H14" s="890"/>
      <c r="I14" s="46"/>
      <c r="J14" s="46"/>
      <c r="K14" s="46"/>
      <c r="L14" s="164"/>
    </row>
    <row r="15" spans="1:12" s="107" customFormat="1" ht="23.25" customHeight="1" x14ac:dyDescent="0.2">
      <c r="A15" s="894" t="s">
        <v>268</v>
      </c>
      <c r="B15" s="904"/>
      <c r="C15" s="895"/>
      <c r="D15" s="47">
        <f>SUM(D8:D11)</f>
        <v>30555</v>
      </c>
      <c r="E15" s="47">
        <f>SUM(E8:E11)</f>
        <v>31472</v>
      </c>
      <c r="F15" s="47">
        <f>SUM(F8:F11)</f>
        <v>32416</v>
      </c>
      <c r="G15" s="894" t="s">
        <v>267</v>
      </c>
      <c r="H15" s="895"/>
      <c r="I15" s="47">
        <f>SUM(I8:I12)</f>
        <v>131081</v>
      </c>
      <c r="J15" s="47">
        <f>SUM(J8:J12)</f>
        <v>135013</v>
      </c>
      <c r="K15" s="47">
        <f>SUM(K8:K12)</f>
        <v>139064</v>
      </c>
      <c r="L15" s="114"/>
    </row>
    <row r="16" spans="1:12" ht="12" customHeight="1" x14ac:dyDescent="0.2">
      <c r="A16" s="889"/>
      <c r="B16" s="899"/>
      <c r="C16" s="890"/>
      <c r="D16" s="46"/>
      <c r="E16" s="46"/>
      <c r="F16" s="46"/>
      <c r="G16" s="889"/>
      <c r="H16" s="890"/>
      <c r="I16" s="46"/>
      <c r="J16" s="46"/>
      <c r="K16" s="46"/>
      <c r="L16" s="164"/>
    </row>
    <row r="17" spans="1:12" ht="12" customHeight="1" x14ac:dyDescent="0.2">
      <c r="A17" s="889" t="s">
        <v>253</v>
      </c>
      <c r="B17" s="899"/>
      <c r="C17" s="890"/>
      <c r="D17" s="46"/>
      <c r="E17" s="46"/>
      <c r="F17" s="46"/>
      <c r="G17" s="889" t="s">
        <v>266</v>
      </c>
      <c r="H17" s="890"/>
      <c r="I17" s="46"/>
      <c r="J17" s="46"/>
      <c r="K17" s="46"/>
    </row>
    <row r="18" spans="1:12" ht="12" customHeight="1" x14ac:dyDescent="0.2">
      <c r="A18" s="887" t="s">
        <v>251</v>
      </c>
      <c r="B18" s="887"/>
      <c r="C18" s="887"/>
      <c r="D18" s="46"/>
      <c r="E18" s="46"/>
      <c r="F18" s="46"/>
      <c r="G18" s="887" t="s">
        <v>250</v>
      </c>
      <c r="H18" s="887"/>
      <c r="I18" s="46"/>
      <c r="J18" s="46"/>
      <c r="K18" s="46"/>
    </row>
    <row r="19" spans="1:12" ht="12" customHeight="1" x14ac:dyDescent="0.2">
      <c r="A19" s="887" t="s">
        <v>249</v>
      </c>
      <c r="B19" s="887"/>
      <c r="C19" s="887"/>
      <c r="D19" s="46"/>
      <c r="E19" s="46"/>
      <c r="F19" s="46"/>
      <c r="G19" s="887" t="s">
        <v>265</v>
      </c>
      <c r="H19" s="887"/>
      <c r="I19" s="46"/>
      <c r="J19" s="46"/>
      <c r="K19" s="46"/>
    </row>
    <row r="20" spans="1:12" ht="12" customHeight="1" x14ac:dyDescent="0.2">
      <c r="A20" s="888" t="s">
        <v>247</v>
      </c>
      <c r="B20" s="888"/>
      <c r="C20" s="888"/>
      <c r="D20" s="46"/>
      <c r="E20" s="46"/>
      <c r="F20" s="46"/>
      <c r="G20" s="887" t="s">
        <v>246</v>
      </c>
      <c r="H20" s="887"/>
      <c r="I20" s="46"/>
      <c r="J20" s="46"/>
      <c r="K20" s="46"/>
    </row>
    <row r="21" spans="1:12" ht="12" customHeight="1" x14ac:dyDescent="0.2">
      <c r="A21" s="888" t="s">
        <v>245</v>
      </c>
      <c r="B21" s="888"/>
      <c r="C21" s="888"/>
      <c r="D21" s="46"/>
      <c r="E21" s="46"/>
      <c r="F21" s="46"/>
      <c r="G21" s="887" t="s">
        <v>244</v>
      </c>
      <c r="H21" s="887"/>
      <c r="I21" s="46"/>
      <c r="J21" s="46"/>
      <c r="K21" s="46"/>
    </row>
    <row r="22" spans="1:12" ht="12" customHeight="1" x14ac:dyDescent="0.2">
      <c r="A22" s="887" t="s">
        <v>243</v>
      </c>
      <c r="B22" s="887"/>
      <c r="C22" s="887"/>
      <c r="D22" s="46">
        <f>+I26-D15</f>
        <v>100526</v>
      </c>
      <c r="E22" s="46">
        <f>+J26-E15</f>
        <v>103541</v>
      </c>
      <c r="F22" s="46">
        <f>+K26-F15</f>
        <v>106648</v>
      </c>
      <c r="G22" s="887" t="s">
        <v>242</v>
      </c>
      <c r="H22" s="887"/>
      <c r="I22" s="46"/>
      <c r="J22" s="46"/>
      <c r="K22" s="46"/>
    </row>
    <row r="23" spans="1:12" ht="12" customHeight="1" x14ac:dyDescent="0.2">
      <c r="A23" s="891"/>
      <c r="B23" s="891"/>
      <c r="C23" s="891"/>
      <c r="D23" s="46"/>
      <c r="E23" s="46"/>
      <c r="F23" s="46"/>
      <c r="G23" s="887" t="s">
        <v>241</v>
      </c>
      <c r="H23" s="887"/>
      <c r="I23" s="46"/>
      <c r="J23" s="46"/>
      <c r="K23" s="46"/>
    </row>
    <row r="24" spans="1:12" ht="12" customHeight="1" x14ac:dyDescent="0.2">
      <c r="A24" s="902" t="s">
        <v>264</v>
      </c>
      <c r="B24" s="902"/>
      <c r="C24" s="902"/>
      <c r="D24" s="47">
        <f>SUM(D17:D22)</f>
        <v>100526</v>
      </c>
      <c r="E24" s="47">
        <f>SUM(E17:E22)</f>
        <v>103541</v>
      </c>
      <c r="F24" s="47">
        <f>SUM(F17:F22)</f>
        <v>106648</v>
      </c>
      <c r="G24" s="894" t="s">
        <v>263</v>
      </c>
      <c r="H24" s="895"/>
      <c r="I24" s="47">
        <f>SUM(I17:I23)</f>
        <v>0</v>
      </c>
      <c r="J24" s="47">
        <f>SUM(J17:J23)</f>
        <v>0</v>
      </c>
      <c r="K24" s="47">
        <f>SUM(K17:K23)</f>
        <v>0</v>
      </c>
      <c r="L24" s="164"/>
    </row>
    <row r="25" spans="1:12" ht="12" customHeight="1" x14ac:dyDescent="0.2">
      <c r="A25" s="903"/>
      <c r="B25" s="903"/>
      <c r="C25" s="903"/>
      <c r="D25" s="47"/>
      <c r="E25" s="47"/>
      <c r="F25" s="47"/>
      <c r="G25" s="892"/>
      <c r="H25" s="893"/>
      <c r="I25" s="47"/>
      <c r="J25" s="47"/>
      <c r="K25" s="47"/>
      <c r="L25" s="164"/>
    </row>
    <row r="26" spans="1:12" ht="12" customHeight="1" x14ac:dyDescent="0.2">
      <c r="A26" s="902" t="s">
        <v>262</v>
      </c>
      <c r="B26" s="902"/>
      <c r="C26" s="902"/>
      <c r="D26" s="47">
        <f>+D15+D24</f>
        <v>131081</v>
      </c>
      <c r="E26" s="47">
        <f>+E15+E24</f>
        <v>135013</v>
      </c>
      <c r="F26" s="47">
        <f>+F15+F24</f>
        <v>139064</v>
      </c>
      <c r="G26" s="894" t="s">
        <v>261</v>
      </c>
      <c r="H26" s="895"/>
      <c r="I26" s="47">
        <f>+I15+I24</f>
        <v>131081</v>
      </c>
      <c r="J26" s="47">
        <f>+J15+J24</f>
        <v>135013</v>
      </c>
      <c r="K26" s="47">
        <f>+K15+K24</f>
        <v>139064</v>
      </c>
      <c r="L26" s="164"/>
    </row>
    <row r="27" spans="1:12" ht="12" customHeight="1" x14ac:dyDescent="0.2">
      <c r="A27" s="888"/>
      <c r="B27" s="888"/>
      <c r="C27" s="888"/>
      <c r="D27" s="46"/>
      <c r="E27" s="46"/>
      <c r="F27" s="46"/>
      <c r="G27" s="889"/>
      <c r="H27" s="890"/>
      <c r="I27" s="46"/>
      <c r="J27" s="46"/>
      <c r="K27" s="46"/>
      <c r="L27" s="164"/>
    </row>
    <row r="28" spans="1:12" ht="12.75" customHeight="1" x14ac:dyDescent="0.2">
      <c r="A28" s="889" t="s">
        <v>260</v>
      </c>
      <c r="B28" s="899"/>
      <c r="C28" s="890"/>
      <c r="D28" s="46"/>
      <c r="E28" s="46"/>
      <c r="F28" s="46"/>
      <c r="G28" s="889" t="s">
        <v>259</v>
      </c>
      <c r="H28" s="890"/>
      <c r="I28" s="46">
        <v>515</v>
      </c>
      <c r="J28" s="46">
        <v>530</v>
      </c>
      <c r="K28" s="46">
        <v>546</v>
      </c>
      <c r="L28" s="164"/>
    </row>
    <row r="29" spans="1:12" ht="12" customHeight="1" x14ac:dyDescent="0.2">
      <c r="A29" s="889" t="s">
        <v>258</v>
      </c>
      <c r="B29" s="899"/>
      <c r="C29" s="890"/>
      <c r="D29" s="46"/>
      <c r="E29" s="46"/>
      <c r="F29" s="46"/>
      <c r="G29" s="889" t="s">
        <v>198</v>
      </c>
      <c r="H29" s="890"/>
      <c r="I29" s="46">
        <v>1177</v>
      </c>
      <c r="J29" s="46">
        <v>1213</v>
      </c>
      <c r="K29" s="46">
        <v>1249</v>
      </c>
      <c r="L29" s="164"/>
    </row>
    <row r="30" spans="1:12" ht="12" customHeight="1" x14ac:dyDescent="0.2">
      <c r="A30" s="888" t="s">
        <v>257</v>
      </c>
      <c r="B30" s="888"/>
      <c r="C30" s="888"/>
      <c r="D30" s="46"/>
      <c r="E30" s="46"/>
      <c r="F30" s="46"/>
      <c r="G30" s="889" t="s">
        <v>256</v>
      </c>
      <c r="H30" s="890"/>
      <c r="I30" s="46"/>
      <c r="J30" s="46"/>
      <c r="K30" s="46"/>
      <c r="L30" s="164"/>
    </row>
    <row r="31" spans="1:12" ht="24" customHeight="1" x14ac:dyDescent="0.2">
      <c r="A31" s="894" t="s">
        <v>255</v>
      </c>
      <c r="B31" s="904"/>
      <c r="C31" s="895"/>
      <c r="D31" s="46">
        <f>SUM(D28:D30)</f>
        <v>0</v>
      </c>
      <c r="E31" s="46">
        <f>SUM(E28:E30)</f>
        <v>0</v>
      </c>
      <c r="F31" s="46">
        <f>SUM(F28:F30)</f>
        <v>0</v>
      </c>
      <c r="G31" s="894" t="s">
        <v>254</v>
      </c>
      <c r="H31" s="895"/>
      <c r="I31" s="46">
        <f>SUM(I28:I30)</f>
        <v>1692</v>
      </c>
      <c r="J31" s="46">
        <f>SUM(J28:J30)</f>
        <v>1743</v>
      </c>
      <c r="K31" s="46">
        <f>SUM(K28:K30)</f>
        <v>1795</v>
      </c>
      <c r="L31" s="164"/>
    </row>
    <row r="32" spans="1:12" ht="12" customHeight="1" x14ac:dyDescent="0.2">
      <c r="A32" s="888"/>
      <c r="B32" s="888"/>
      <c r="C32" s="888"/>
      <c r="D32" s="46"/>
      <c r="E32" s="46"/>
      <c r="F32" s="46"/>
      <c r="G32" s="889"/>
      <c r="H32" s="890"/>
      <c r="I32" s="46"/>
      <c r="J32" s="46"/>
      <c r="K32" s="46"/>
      <c r="L32" s="164"/>
    </row>
    <row r="33" spans="1:12" ht="12" customHeight="1" x14ac:dyDescent="0.2">
      <c r="A33" s="889" t="s">
        <v>253</v>
      </c>
      <c r="B33" s="899"/>
      <c r="C33" s="890"/>
      <c r="D33" s="46"/>
      <c r="E33" s="46"/>
      <c r="F33" s="46"/>
      <c r="G33" s="889" t="s">
        <v>252</v>
      </c>
      <c r="H33" s="890"/>
      <c r="I33" s="46"/>
      <c r="J33" s="46"/>
      <c r="K33" s="46"/>
    </row>
    <row r="34" spans="1:12" ht="12" customHeight="1" x14ac:dyDescent="0.2">
      <c r="A34" s="887" t="s">
        <v>251</v>
      </c>
      <c r="B34" s="887"/>
      <c r="C34" s="887"/>
      <c r="D34" s="46"/>
      <c r="E34" s="46"/>
      <c r="F34" s="46"/>
      <c r="G34" s="887" t="s">
        <v>250</v>
      </c>
      <c r="H34" s="887"/>
      <c r="I34" s="46"/>
      <c r="J34" s="46"/>
      <c r="K34" s="46"/>
    </row>
    <row r="35" spans="1:12" ht="12" customHeight="1" x14ac:dyDescent="0.2">
      <c r="A35" s="887" t="s">
        <v>249</v>
      </c>
      <c r="B35" s="887"/>
      <c r="C35" s="887"/>
      <c r="D35" s="46"/>
      <c r="E35" s="46"/>
      <c r="F35" s="46"/>
      <c r="G35" s="889" t="s">
        <v>248</v>
      </c>
      <c r="H35" s="890"/>
      <c r="I35" s="46"/>
      <c r="J35" s="46"/>
      <c r="K35" s="46"/>
    </row>
    <row r="36" spans="1:12" ht="12" customHeight="1" x14ac:dyDescent="0.2">
      <c r="A36" s="888" t="s">
        <v>247</v>
      </c>
      <c r="B36" s="888"/>
      <c r="C36" s="888"/>
      <c r="D36" s="46"/>
      <c r="E36" s="46"/>
      <c r="F36" s="46"/>
      <c r="G36" s="889" t="s">
        <v>246</v>
      </c>
      <c r="H36" s="890"/>
      <c r="I36" s="46"/>
      <c r="J36" s="46"/>
      <c r="K36" s="46"/>
    </row>
    <row r="37" spans="1:12" ht="12" customHeight="1" x14ac:dyDescent="0.2">
      <c r="A37" s="888" t="s">
        <v>245</v>
      </c>
      <c r="B37" s="888"/>
      <c r="C37" s="888"/>
      <c r="D37" s="46"/>
      <c r="E37" s="46"/>
      <c r="F37" s="46"/>
      <c r="G37" s="887" t="s">
        <v>244</v>
      </c>
      <c r="H37" s="887"/>
      <c r="I37" s="46"/>
      <c r="J37" s="46"/>
      <c r="K37" s="46"/>
    </row>
    <row r="38" spans="1:12" ht="12" customHeight="1" x14ac:dyDescent="0.2">
      <c r="A38" s="887" t="s">
        <v>243</v>
      </c>
      <c r="B38" s="887"/>
      <c r="C38" s="887"/>
      <c r="D38" s="46">
        <f>+I31</f>
        <v>1692</v>
      </c>
      <c r="E38" s="46">
        <f>+J31</f>
        <v>1743</v>
      </c>
      <c r="F38" s="46">
        <f>+K31</f>
        <v>1795</v>
      </c>
      <c r="G38" s="887" t="s">
        <v>242</v>
      </c>
      <c r="H38" s="887"/>
      <c r="I38" s="46"/>
      <c r="J38" s="46"/>
      <c r="K38" s="46"/>
    </row>
    <row r="39" spans="1:12" ht="12" customHeight="1" x14ac:dyDescent="0.2">
      <c r="A39" s="891"/>
      <c r="B39" s="891"/>
      <c r="C39" s="891"/>
      <c r="D39" s="46"/>
      <c r="E39" s="46"/>
      <c r="F39" s="46"/>
      <c r="G39" s="887" t="s">
        <v>241</v>
      </c>
      <c r="H39" s="887"/>
      <c r="I39" s="46"/>
      <c r="J39" s="46"/>
      <c r="K39" s="46"/>
    </row>
    <row r="40" spans="1:12" ht="12" customHeight="1" x14ac:dyDescent="0.2">
      <c r="A40" s="894" t="s">
        <v>240</v>
      </c>
      <c r="B40" s="904"/>
      <c r="C40" s="895"/>
      <c r="D40" s="47">
        <f>SUM(D33:D38)</f>
        <v>1692</v>
      </c>
      <c r="E40" s="47">
        <f>SUM(E33:E38)</f>
        <v>1743</v>
      </c>
      <c r="F40" s="47">
        <f>SUM(F33:F38)</f>
        <v>1795</v>
      </c>
      <c r="G40" s="894" t="s">
        <v>239</v>
      </c>
      <c r="H40" s="895"/>
      <c r="I40" s="47">
        <f>SUM(I33:I39)</f>
        <v>0</v>
      </c>
      <c r="J40" s="47">
        <f>SUM(J33:J39)</f>
        <v>0</v>
      </c>
      <c r="K40" s="47">
        <f>SUM(K33:K39)</f>
        <v>0</v>
      </c>
      <c r="L40" s="164"/>
    </row>
    <row r="41" spans="1:12" ht="12" customHeight="1" x14ac:dyDescent="0.2">
      <c r="A41" s="888"/>
      <c r="B41" s="888"/>
      <c r="C41" s="888"/>
      <c r="D41" s="47"/>
      <c r="E41" s="47"/>
      <c r="F41" s="47"/>
      <c r="G41" s="889"/>
      <c r="H41" s="890"/>
      <c r="I41" s="47"/>
      <c r="J41" s="47"/>
      <c r="K41" s="47"/>
      <c r="L41" s="164"/>
    </row>
    <row r="42" spans="1:12" ht="12.75" customHeight="1" x14ac:dyDescent="0.2">
      <c r="A42" s="902" t="s">
        <v>238</v>
      </c>
      <c r="B42" s="902"/>
      <c r="C42" s="902"/>
      <c r="D42" s="47">
        <f>+D31+D40</f>
        <v>1692</v>
      </c>
      <c r="E42" s="47">
        <f>+E31+E40</f>
        <v>1743</v>
      </c>
      <c r="F42" s="47">
        <f>+F31+F40</f>
        <v>1795</v>
      </c>
      <c r="G42" s="894" t="s">
        <v>237</v>
      </c>
      <c r="H42" s="895"/>
      <c r="I42" s="47">
        <f>+I31+I40</f>
        <v>1692</v>
      </c>
      <c r="J42" s="47">
        <f>+J31+J40</f>
        <v>1743</v>
      </c>
      <c r="K42" s="47">
        <f>+K31+K40</f>
        <v>1795</v>
      </c>
      <c r="L42" s="164"/>
    </row>
    <row r="43" spans="1:12" ht="12" customHeight="1" x14ac:dyDescent="0.2">
      <c r="A43" s="888"/>
      <c r="B43" s="888"/>
      <c r="C43" s="888"/>
      <c r="D43" s="47"/>
      <c r="E43" s="47"/>
      <c r="F43" s="47"/>
      <c r="G43" s="897"/>
      <c r="H43" s="898"/>
      <c r="I43" s="47"/>
      <c r="J43" s="47"/>
      <c r="K43" s="47"/>
      <c r="L43" s="164"/>
    </row>
    <row r="44" spans="1:12" ht="12.75" customHeight="1" x14ac:dyDescent="0.2">
      <c r="A44" s="896" t="s">
        <v>236</v>
      </c>
      <c r="B44" s="896"/>
      <c r="C44" s="896"/>
      <c r="D44" s="47">
        <f>+D26+D42</f>
        <v>132773</v>
      </c>
      <c r="E44" s="47">
        <f>+E26+E42</f>
        <v>136756</v>
      </c>
      <c r="F44" s="47">
        <f>+F26+F42</f>
        <v>140859</v>
      </c>
      <c r="G44" s="896" t="s">
        <v>235</v>
      </c>
      <c r="H44" s="896"/>
      <c r="I44" s="47">
        <f>+I26+I42</f>
        <v>132773</v>
      </c>
      <c r="J44" s="47">
        <f>+J26+J42</f>
        <v>136756</v>
      </c>
      <c r="K44" s="47">
        <f>+K26+K42</f>
        <v>140859</v>
      </c>
      <c r="L44" s="164"/>
    </row>
  </sheetData>
  <mergeCells count="83">
    <mergeCell ref="A44:C44"/>
    <mergeCell ref="G44:H44"/>
    <mergeCell ref="A41:C41"/>
    <mergeCell ref="G41:H41"/>
    <mergeCell ref="A42:C42"/>
    <mergeCell ref="G42:H42"/>
    <mergeCell ref="A43:C43"/>
    <mergeCell ref="G43:H43"/>
    <mergeCell ref="A38:C38"/>
    <mergeCell ref="G38:H38"/>
    <mergeCell ref="A39:C39"/>
    <mergeCell ref="G39:H39"/>
    <mergeCell ref="A40:C40"/>
    <mergeCell ref="G40:H40"/>
    <mergeCell ref="A35:C35"/>
    <mergeCell ref="G35:H35"/>
    <mergeCell ref="A36:C36"/>
    <mergeCell ref="G36:H36"/>
    <mergeCell ref="A37:C37"/>
    <mergeCell ref="G37:H37"/>
    <mergeCell ref="A32:C32"/>
    <mergeCell ref="G32:H32"/>
    <mergeCell ref="A33:C33"/>
    <mergeCell ref="G33:H33"/>
    <mergeCell ref="A34:C34"/>
    <mergeCell ref="G34:H34"/>
    <mergeCell ref="A29:C29"/>
    <mergeCell ref="G29:H29"/>
    <mergeCell ref="A30:C30"/>
    <mergeCell ref="G30:H30"/>
    <mergeCell ref="A31:C31"/>
    <mergeCell ref="G31:H31"/>
    <mergeCell ref="A26:C26"/>
    <mergeCell ref="G26:H26"/>
    <mergeCell ref="A27:C27"/>
    <mergeCell ref="G27:H27"/>
    <mergeCell ref="A28:C28"/>
    <mergeCell ref="G28:H28"/>
    <mergeCell ref="A23:C23"/>
    <mergeCell ref="G23:H23"/>
    <mergeCell ref="A24:C24"/>
    <mergeCell ref="G24:H24"/>
    <mergeCell ref="A25:C25"/>
    <mergeCell ref="G25:H25"/>
    <mergeCell ref="A20:C20"/>
    <mergeCell ref="G20:H20"/>
    <mergeCell ref="A21:C21"/>
    <mergeCell ref="G21:H21"/>
    <mergeCell ref="A22:C22"/>
    <mergeCell ref="G22:H22"/>
    <mergeCell ref="A17:C17"/>
    <mergeCell ref="G17:H17"/>
    <mergeCell ref="A18:C18"/>
    <mergeCell ref="G18:H18"/>
    <mergeCell ref="A19:C19"/>
    <mergeCell ref="G19:H19"/>
    <mergeCell ref="A14:C14"/>
    <mergeCell ref="G14:H14"/>
    <mergeCell ref="A15:C15"/>
    <mergeCell ref="G15:H15"/>
    <mergeCell ref="A16:C16"/>
    <mergeCell ref="G16:H16"/>
    <mergeCell ref="A11:C11"/>
    <mergeCell ref="G11:H11"/>
    <mergeCell ref="A12:C12"/>
    <mergeCell ref="G12:H12"/>
    <mergeCell ref="A13:C13"/>
    <mergeCell ref="G13:H13"/>
    <mergeCell ref="A8:C8"/>
    <mergeCell ref="G8:H8"/>
    <mergeCell ref="A9:C9"/>
    <mergeCell ref="G9:H9"/>
    <mergeCell ref="A10:C10"/>
    <mergeCell ref="G10:H10"/>
    <mergeCell ref="A6:C7"/>
    <mergeCell ref="D6:F6"/>
    <mergeCell ref="G6:H7"/>
    <mergeCell ref="I6:K6"/>
    <mergeCell ref="A3:K3"/>
    <mergeCell ref="A4:C4"/>
    <mergeCell ref="G4:H4"/>
    <mergeCell ref="A5:F5"/>
    <mergeCell ref="G5:K5"/>
  </mergeCells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K1" sqref="K1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258" width="9.140625" style="105"/>
    <col min="259" max="259" width="20" style="105" customWidth="1"/>
    <col min="260" max="262" width="10.7109375" style="105" customWidth="1"/>
    <col min="263" max="263" width="6.5703125" style="105" customWidth="1"/>
    <col min="264" max="264" width="32.5703125" style="105" customWidth="1"/>
    <col min="265" max="267" width="10.7109375" style="105" customWidth="1"/>
    <col min="268" max="268" width="15.140625" style="105" customWidth="1"/>
    <col min="269" max="514" width="9.140625" style="105"/>
    <col min="515" max="515" width="20" style="105" customWidth="1"/>
    <col min="516" max="518" width="10.7109375" style="105" customWidth="1"/>
    <col min="519" max="519" width="6.5703125" style="105" customWidth="1"/>
    <col min="520" max="520" width="32.5703125" style="105" customWidth="1"/>
    <col min="521" max="523" width="10.7109375" style="105" customWidth="1"/>
    <col min="524" max="524" width="15.140625" style="105" customWidth="1"/>
    <col min="525" max="770" width="9.140625" style="105"/>
    <col min="771" max="771" width="20" style="105" customWidth="1"/>
    <col min="772" max="774" width="10.7109375" style="105" customWidth="1"/>
    <col min="775" max="775" width="6.5703125" style="105" customWidth="1"/>
    <col min="776" max="776" width="32.5703125" style="105" customWidth="1"/>
    <col min="777" max="779" width="10.7109375" style="105" customWidth="1"/>
    <col min="780" max="780" width="15.140625" style="105" customWidth="1"/>
    <col min="781" max="1026" width="9.140625" style="105"/>
    <col min="1027" max="1027" width="20" style="105" customWidth="1"/>
    <col min="1028" max="1030" width="10.7109375" style="105" customWidth="1"/>
    <col min="1031" max="1031" width="6.5703125" style="105" customWidth="1"/>
    <col min="1032" max="1032" width="32.5703125" style="105" customWidth="1"/>
    <col min="1033" max="1035" width="10.7109375" style="105" customWidth="1"/>
    <col min="1036" max="1036" width="15.140625" style="105" customWidth="1"/>
    <col min="1037" max="1282" width="9.140625" style="105"/>
    <col min="1283" max="1283" width="20" style="105" customWidth="1"/>
    <col min="1284" max="1286" width="10.7109375" style="105" customWidth="1"/>
    <col min="1287" max="1287" width="6.5703125" style="105" customWidth="1"/>
    <col min="1288" max="1288" width="32.5703125" style="105" customWidth="1"/>
    <col min="1289" max="1291" width="10.7109375" style="105" customWidth="1"/>
    <col min="1292" max="1292" width="15.140625" style="105" customWidth="1"/>
    <col min="1293" max="1538" width="9.140625" style="105"/>
    <col min="1539" max="1539" width="20" style="105" customWidth="1"/>
    <col min="1540" max="1542" width="10.7109375" style="105" customWidth="1"/>
    <col min="1543" max="1543" width="6.5703125" style="105" customWidth="1"/>
    <col min="1544" max="1544" width="32.5703125" style="105" customWidth="1"/>
    <col min="1545" max="1547" width="10.7109375" style="105" customWidth="1"/>
    <col min="1548" max="1548" width="15.140625" style="105" customWidth="1"/>
    <col min="1549" max="1794" width="9.140625" style="105"/>
    <col min="1795" max="1795" width="20" style="105" customWidth="1"/>
    <col min="1796" max="1798" width="10.7109375" style="105" customWidth="1"/>
    <col min="1799" max="1799" width="6.5703125" style="105" customWidth="1"/>
    <col min="1800" max="1800" width="32.5703125" style="105" customWidth="1"/>
    <col min="1801" max="1803" width="10.7109375" style="105" customWidth="1"/>
    <col min="1804" max="1804" width="15.140625" style="105" customWidth="1"/>
    <col min="1805" max="2050" width="9.140625" style="105"/>
    <col min="2051" max="2051" width="20" style="105" customWidth="1"/>
    <col min="2052" max="2054" width="10.7109375" style="105" customWidth="1"/>
    <col min="2055" max="2055" width="6.5703125" style="105" customWidth="1"/>
    <col min="2056" max="2056" width="32.5703125" style="105" customWidth="1"/>
    <col min="2057" max="2059" width="10.7109375" style="105" customWidth="1"/>
    <col min="2060" max="2060" width="15.140625" style="105" customWidth="1"/>
    <col min="2061" max="2306" width="9.140625" style="105"/>
    <col min="2307" max="2307" width="20" style="105" customWidth="1"/>
    <col min="2308" max="2310" width="10.7109375" style="105" customWidth="1"/>
    <col min="2311" max="2311" width="6.5703125" style="105" customWidth="1"/>
    <col min="2312" max="2312" width="32.5703125" style="105" customWidth="1"/>
    <col min="2313" max="2315" width="10.7109375" style="105" customWidth="1"/>
    <col min="2316" max="2316" width="15.140625" style="105" customWidth="1"/>
    <col min="2317" max="2562" width="9.140625" style="105"/>
    <col min="2563" max="2563" width="20" style="105" customWidth="1"/>
    <col min="2564" max="2566" width="10.7109375" style="105" customWidth="1"/>
    <col min="2567" max="2567" width="6.5703125" style="105" customWidth="1"/>
    <col min="2568" max="2568" width="32.5703125" style="105" customWidth="1"/>
    <col min="2569" max="2571" width="10.7109375" style="105" customWidth="1"/>
    <col min="2572" max="2572" width="15.140625" style="105" customWidth="1"/>
    <col min="2573" max="2818" width="9.140625" style="105"/>
    <col min="2819" max="2819" width="20" style="105" customWidth="1"/>
    <col min="2820" max="2822" width="10.7109375" style="105" customWidth="1"/>
    <col min="2823" max="2823" width="6.5703125" style="105" customWidth="1"/>
    <col min="2824" max="2824" width="32.5703125" style="105" customWidth="1"/>
    <col min="2825" max="2827" width="10.7109375" style="105" customWidth="1"/>
    <col min="2828" max="2828" width="15.140625" style="105" customWidth="1"/>
    <col min="2829" max="3074" width="9.140625" style="105"/>
    <col min="3075" max="3075" width="20" style="105" customWidth="1"/>
    <col min="3076" max="3078" width="10.7109375" style="105" customWidth="1"/>
    <col min="3079" max="3079" width="6.5703125" style="105" customWidth="1"/>
    <col min="3080" max="3080" width="32.5703125" style="105" customWidth="1"/>
    <col min="3081" max="3083" width="10.7109375" style="105" customWidth="1"/>
    <col min="3084" max="3084" width="15.140625" style="105" customWidth="1"/>
    <col min="3085" max="3330" width="9.140625" style="105"/>
    <col min="3331" max="3331" width="20" style="105" customWidth="1"/>
    <col min="3332" max="3334" width="10.7109375" style="105" customWidth="1"/>
    <col min="3335" max="3335" width="6.5703125" style="105" customWidth="1"/>
    <col min="3336" max="3336" width="32.5703125" style="105" customWidth="1"/>
    <col min="3337" max="3339" width="10.7109375" style="105" customWidth="1"/>
    <col min="3340" max="3340" width="15.140625" style="105" customWidth="1"/>
    <col min="3341" max="3586" width="9.140625" style="105"/>
    <col min="3587" max="3587" width="20" style="105" customWidth="1"/>
    <col min="3588" max="3590" width="10.7109375" style="105" customWidth="1"/>
    <col min="3591" max="3591" width="6.5703125" style="105" customWidth="1"/>
    <col min="3592" max="3592" width="32.5703125" style="105" customWidth="1"/>
    <col min="3593" max="3595" width="10.7109375" style="105" customWidth="1"/>
    <col min="3596" max="3596" width="15.140625" style="105" customWidth="1"/>
    <col min="3597" max="3842" width="9.140625" style="105"/>
    <col min="3843" max="3843" width="20" style="105" customWidth="1"/>
    <col min="3844" max="3846" width="10.7109375" style="105" customWidth="1"/>
    <col min="3847" max="3847" width="6.5703125" style="105" customWidth="1"/>
    <col min="3848" max="3848" width="32.5703125" style="105" customWidth="1"/>
    <col min="3849" max="3851" width="10.7109375" style="105" customWidth="1"/>
    <col min="3852" max="3852" width="15.140625" style="105" customWidth="1"/>
    <col min="3853" max="4098" width="9.140625" style="105"/>
    <col min="4099" max="4099" width="20" style="105" customWidth="1"/>
    <col min="4100" max="4102" width="10.7109375" style="105" customWidth="1"/>
    <col min="4103" max="4103" width="6.5703125" style="105" customWidth="1"/>
    <col min="4104" max="4104" width="32.5703125" style="105" customWidth="1"/>
    <col min="4105" max="4107" width="10.7109375" style="105" customWidth="1"/>
    <col min="4108" max="4108" width="15.140625" style="105" customWidth="1"/>
    <col min="4109" max="4354" width="9.140625" style="105"/>
    <col min="4355" max="4355" width="20" style="105" customWidth="1"/>
    <col min="4356" max="4358" width="10.7109375" style="105" customWidth="1"/>
    <col min="4359" max="4359" width="6.5703125" style="105" customWidth="1"/>
    <col min="4360" max="4360" width="32.5703125" style="105" customWidth="1"/>
    <col min="4361" max="4363" width="10.7109375" style="105" customWidth="1"/>
    <col min="4364" max="4364" width="15.140625" style="105" customWidth="1"/>
    <col min="4365" max="4610" width="9.140625" style="105"/>
    <col min="4611" max="4611" width="20" style="105" customWidth="1"/>
    <col min="4612" max="4614" width="10.7109375" style="105" customWidth="1"/>
    <col min="4615" max="4615" width="6.5703125" style="105" customWidth="1"/>
    <col min="4616" max="4616" width="32.5703125" style="105" customWidth="1"/>
    <col min="4617" max="4619" width="10.7109375" style="105" customWidth="1"/>
    <col min="4620" max="4620" width="15.140625" style="105" customWidth="1"/>
    <col min="4621" max="4866" width="9.140625" style="105"/>
    <col min="4867" max="4867" width="20" style="105" customWidth="1"/>
    <col min="4868" max="4870" width="10.7109375" style="105" customWidth="1"/>
    <col min="4871" max="4871" width="6.5703125" style="105" customWidth="1"/>
    <col min="4872" max="4872" width="32.5703125" style="105" customWidth="1"/>
    <col min="4873" max="4875" width="10.7109375" style="105" customWidth="1"/>
    <col min="4876" max="4876" width="15.140625" style="105" customWidth="1"/>
    <col min="4877" max="5122" width="9.140625" style="105"/>
    <col min="5123" max="5123" width="20" style="105" customWidth="1"/>
    <col min="5124" max="5126" width="10.7109375" style="105" customWidth="1"/>
    <col min="5127" max="5127" width="6.5703125" style="105" customWidth="1"/>
    <col min="5128" max="5128" width="32.5703125" style="105" customWidth="1"/>
    <col min="5129" max="5131" width="10.7109375" style="105" customWidth="1"/>
    <col min="5132" max="5132" width="15.140625" style="105" customWidth="1"/>
    <col min="5133" max="5378" width="9.140625" style="105"/>
    <col min="5379" max="5379" width="20" style="105" customWidth="1"/>
    <col min="5380" max="5382" width="10.7109375" style="105" customWidth="1"/>
    <col min="5383" max="5383" width="6.5703125" style="105" customWidth="1"/>
    <col min="5384" max="5384" width="32.5703125" style="105" customWidth="1"/>
    <col min="5385" max="5387" width="10.7109375" style="105" customWidth="1"/>
    <col min="5388" max="5388" width="15.140625" style="105" customWidth="1"/>
    <col min="5389" max="5634" width="9.140625" style="105"/>
    <col min="5635" max="5635" width="20" style="105" customWidth="1"/>
    <col min="5636" max="5638" width="10.7109375" style="105" customWidth="1"/>
    <col min="5639" max="5639" width="6.5703125" style="105" customWidth="1"/>
    <col min="5640" max="5640" width="32.5703125" style="105" customWidth="1"/>
    <col min="5641" max="5643" width="10.7109375" style="105" customWidth="1"/>
    <col min="5644" max="5644" width="15.140625" style="105" customWidth="1"/>
    <col min="5645" max="5890" width="9.140625" style="105"/>
    <col min="5891" max="5891" width="20" style="105" customWidth="1"/>
    <col min="5892" max="5894" width="10.7109375" style="105" customWidth="1"/>
    <col min="5895" max="5895" width="6.5703125" style="105" customWidth="1"/>
    <col min="5896" max="5896" width="32.5703125" style="105" customWidth="1"/>
    <col min="5897" max="5899" width="10.7109375" style="105" customWidth="1"/>
    <col min="5900" max="5900" width="15.140625" style="105" customWidth="1"/>
    <col min="5901" max="6146" width="9.140625" style="105"/>
    <col min="6147" max="6147" width="20" style="105" customWidth="1"/>
    <col min="6148" max="6150" width="10.7109375" style="105" customWidth="1"/>
    <col min="6151" max="6151" width="6.5703125" style="105" customWidth="1"/>
    <col min="6152" max="6152" width="32.5703125" style="105" customWidth="1"/>
    <col min="6153" max="6155" width="10.7109375" style="105" customWidth="1"/>
    <col min="6156" max="6156" width="15.140625" style="105" customWidth="1"/>
    <col min="6157" max="6402" width="9.140625" style="105"/>
    <col min="6403" max="6403" width="20" style="105" customWidth="1"/>
    <col min="6404" max="6406" width="10.7109375" style="105" customWidth="1"/>
    <col min="6407" max="6407" width="6.5703125" style="105" customWidth="1"/>
    <col min="6408" max="6408" width="32.5703125" style="105" customWidth="1"/>
    <col min="6409" max="6411" width="10.7109375" style="105" customWidth="1"/>
    <col min="6412" max="6412" width="15.140625" style="105" customWidth="1"/>
    <col min="6413" max="6658" width="9.140625" style="105"/>
    <col min="6659" max="6659" width="20" style="105" customWidth="1"/>
    <col min="6660" max="6662" width="10.7109375" style="105" customWidth="1"/>
    <col min="6663" max="6663" width="6.5703125" style="105" customWidth="1"/>
    <col min="6664" max="6664" width="32.5703125" style="105" customWidth="1"/>
    <col min="6665" max="6667" width="10.7109375" style="105" customWidth="1"/>
    <col min="6668" max="6668" width="15.140625" style="105" customWidth="1"/>
    <col min="6669" max="6914" width="9.140625" style="105"/>
    <col min="6915" max="6915" width="20" style="105" customWidth="1"/>
    <col min="6916" max="6918" width="10.7109375" style="105" customWidth="1"/>
    <col min="6919" max="6919" width="6.5703125" style="105" customWidth="1"/>
    <col min="6920" max="6920" width="32.5703125" style="105" customWidth="1"/>
    <col min="6921" max="6923" width="10.7109375" style="105" customWidth="1"/>
    <col min="6924" max="6924" width="15.140625" style="105" customWidth="1"/>
    <col min="6925" max="7170" width="9.140625" style="105"/>
    <col min="7171" max="7171" width="20" style="105" customWidth="1"/>
    <col min="7172" max="7174" width="10.7109375" style="105" customWidth="1"/>
    <col min="7175" max="7175" width="6.5703125" style="105" customWidth="1"/>
    <col min="7176" max="7176" width="32.5703125" style="105" customWidth="1"/>
    <col min="7177" max="7179" width="10.7109375" style="105" customWidth="1"/>
    <col min="7180" max="7180" width="15.140625" style="105" customWidth="1"/>
    <col min="7181" max="7426" width="9.140625" style="105"/>
    <col min="7427" max="7427" width="20" style="105" customWidth="1"/>
    <col min="7428" max="7430" width="10.7109375" style="105" customWidth="1"/>
    <col min="7431" max="7431" width="6.5703125" style="105" customWidth="1"/>
    <col min="7432" max="7432" width="32.5703125" style="105" customWidth="1"/>
    <col min="7433" max="7435" width="10.7109375" style="105" customWidth="1"/>
    <col min="7436" max="7436" width="15.140625" style="105" customWidth="1"/>
    <col min="7437" max="7682" width="9.140625" style="105"/>
    <col min="7683" max="7683" width="20" style="105" customWidth="1"/>
    <col min="7684" max="7686" width="10.7109375" style="105" customWidth="1"/>
    <col min="7687" max="7687" width="6.5703125" style="105" customWidth="1"/>
    <col min="7688" max="7688" width="32.5703125" style="105" customWidth="1"/>
    <col min="7689" max="7691" width="10.7109375" style="105" customWidth="1"/>
    <col min="7692" max="7692" width="15.140625" style="105" customWidth="1"/>
    <col min="7693" max="7938" width="9.140625" style="105"/>
    <col min="7939" max="7939" width="20" style="105" customWidth="1"/>
    <col min="7940" max="7942" width="10.7109375" style="105" customWidth="1"/>
    <col min="7943" max="7943" width="6.5703125" style="105" customWidth="1"/>
    <col min="7944" max="7944" width="32.5703125" style="105" customWidth="1"/>
    <col min="7945" max="7947" width="10.7109375" style="105" customWidth="1"/>
    <col min="7948" max="7948" width="15.140625" style="105" customWidth="1"/>
    <col min="7949" max="8194" width="9.140625" style="105"/>
    <col min="8195" max="8195" width="20" style="105" customWidth="1"/>
    <col min="8196" max="8198" width="10.7109375" style="105" customWidth="1"/>
    <col min="8199" max="8199" width="6.5703125" style="105" customWidth="1"/>
    <col min="8200" max="8200" width="32.5703125" style="105" customWidth="1"/>
    <col min="8201" max="8203" width="10.7109375" style="105" customWidth="1"/>
    <col min="8204" max="8204" width="15.140625" style="105" customWidth="1"/>
    <col min="8205" max="8450" width="9.140625" style="105"/>
    <col min="8451" max="8451" width="20" style="105" customWidth="1"/>
    <col min="8452" max="8454" width="10.7109375" style="105" customWidth="1"/>
    <col min="8455" max="8455" width="6.5703125" style="105" customWidth="1"/>
    <col min="8456" max="8456" width="32.5703125" style="105" customWidth="1"/>
    <col min="8457" max="8459" width="10.7109375" style="105" customWidth="1"/>
    <col min="8460" max="8460" width="15.140625" style="105" customWidth="1"/>
    <col min="8461" max="8706" width="9.140625" style="105"/>
    <col min="8707" max="8707" width="20" style="105" customWidth="1"/>
    <col min="8708" max="8710" width="10.7109375" style="105" customWidth="1"/>
    <col min="8711" max="8711" width="6.5703125" style="105" customWidth="1"/>
    <col min="8712" max="8712" width="32.5703125" style="105" customWidth="1"/>
    <col min="8713" max="8715" width="10.7109375" style="105" customWidth="1"/>
    <col min="8716" max="8716" width="15.140625" style="105" customWidth="1"/>
    <col min="8717" max="8962" width="9.140625" style="105"/>
    <col min="8963" max="8963" width="20" style="105" customWidth="1"/>
    <col min="8964" max="8966" width="10.7109375" style="105" customWidth="1"/>
    <col min="8967" max="8967" width="6.5703125" style="105" customWidth="1"/>
    <col min="8968" max="8968" width="32.5703125" style="105" customWidth="1"/>
    <col min="8969" max="8971" width="10.7109375" style="105" customWidth="1"/>
    <col min="8972" max="8972" width="15.140625" style="105" customWidth="1"/>
    <col min="8973" max="9218" width="9.140625" style="105"/>
    <col min="9219" max="9219" width="20" style="105" customWidth="1"/>
    <col min="9220" max="9222" width="10.7109375" style="105" customWidth="1"/>
    <col min="9223" max="9223" width="6.5703125" style="105" customWidth="1"/>
    <col min="9224" max="9224" width="32.5703125" style="105" customWidth="1"/>
    <col min="9225" max="9227" width="10.7109375" style="105" customWidth="1"/>
    <col min="9228" max="9228" width="15.140625" style="105" customWidth="1"/>
    <col min="9229" max="9474" width="9.140625" style="105"/>
    <col min="9475" max="9475" width="20" style="105" customWidth="1"/>
    <col min="9476" max="9478" width="10.7109375" style="105" customWidth="1"/>
    <col min="9479" max="9479" width="6.5703125" style="105" customWidth="1"/>
    <col min="9480" max="9480" width="32.5703125" style="105" customWidth="1"/>
    <col min="9481" max="9483" width="10.7109375" style="105" customWidth="1"/>
    <col min="9484" max="9484" width="15.140625" style="105" customWidth="1"/>
    <col min="9485" max="9730" width="9.140625" style="105"/>
    <col min="9731" max="9731" width="20" style="105" customWidth="1"/>
    <col min="9732" max="9734" width="10.7109375" style="105" customWidth="1"/>
    <col min="9735" max="9735" width="6.5703125" style="105" customWidth="1"/>
    <col min="9736" max="9736" width="32.5703125" style="105" customWidth="1"/>
    <col min="9737" max="9739" width="10.7109375" style="105" customWidth="1"/>
    <col min="9740" max="9740" width="15.140625" style="105" customWidth="1"/>
    <col min="9741" max="9986" width="9.140625" style="105"/>
    <col min="9987" max="9987" width="20" style="105" customWidth="1"/>
    <col min="9988" max="9990" width="10.7109375" style="105" customWidth="1"/>
    <col min="9991" max="9991" width="6.5703125" style="105" customWidth="1"/>
    <col min="9992" max="9992" width="32.5703125" style="105" customWidth="1"/>
    <col min="9993" max="9995" width="10.7109375" style="105" customWidth="1"/>
    <col min="9996" max="9996" width="15.140625" style="105" customWidth="1"/>
    <col min="9997" max="10242" width="9.140625" style="105"/>
    <col min="10243" max="10243" width="20" style="105" customWidth="1"/>
    <col min="10244" max="10246" width="10.7109375" style="105" customWidth="1"/>
    <col min="10247" max="10247" width="6.5703125" style="105" customWidth="1"/>
    <col min="10248" max="10248" width="32.5703125" style="105" customWidth="1"/>
    <col min="10249" max="10251" width="10.7109375" style="105" customWidth="1"/>
    <col min="10252" max="10252" width="15.140625" style="105" customWidth="1"/>
    <col min="10253" max="10498" width="9.140625" style="105"/>
    <col min="10499" max="10499" width="20" style="105" customWidth="1"/>
    <col min="10500" max="10502" width="10.7109375" style="105" customWidth="1"/>
    <col min="10503" max="10503" width="6.5703125" style="105" customWidth="1"/>
    <col min="10504" max="10504" width="32.5703125" style="105" customWidth="1"/>
    <col min="10505" max="10507" width="10.7109375" style="105" customWidth="1"/>
    <col min="10508" max="10508" width="15.140625" style="105" customWidth="1"/>
    <col min="10509" max="10754" width="9.140625" style="105"/>
    <col min="10755" max="10755" width="20" style="105" customWidth="1"/>
    <col min="10756" max="10758" width="10.7109375" style="105" customWidth="1"/>
    <col min="10759" max="10759" width="6.5703125" style="105" customWidth="1"/>
    <col min="10760" max="10760" width="32.5703125" style="105" customWidth="1"/>
    <col min="10761" max="10763" width="10.7109375" style="105" customWidth="1"/>
    <col min="10764" max="10764" width="15.140625" style="105" customWidth="1"/>
    <col min="10765" max="11010" width="9.140625" style="105"/>
    <col min="11011" max="11011" width="20" style="105" customWidth="1"/>
    <col min="11012" max="11014" width="10.7109375" style="105" customWidth="1"/>
    <col min="11015" max="11015" width="6.5703125" style="105" customWidth="1"/>
    <col min="11016" max="11016" width="32.5703125" style="105" customWidth="1"/>
    <col min="11017" max="11019" width="10.7109375" style="105" customWidth="1"/>
    <col min="11020" max="11020" width="15.140625" style="105" customWidth="1"/>
    <col min="11021" max="11266" width="9.140625" style="105"/>
    <col min="11267" max="11267" width="20" style="105" customWidth="1"/>
    <col min="11268" max="11270" width="10.7109375" style="105" customWidth="1"/>
    <col min="11271" max="11271" width="6.5703125" style="105" customWidth="1"/>
    <col min="11272" max="11272" width="32.5703125" style="105" customWidth="1"/>
    <col min="11273" max="11275" width="10.7109375" style="105" customWidth="1"/>
    <col min="11276" max="11276" width="15.140625" style="105" customWidth="1"/>
    <col min="11277" max="11522" width="9.140625" style="105"/>
    <col min="11523" max="11523" width="20" style="105" customWidth="1"/>
    <col min="11524" max="11526" width="10.7109375" style="105" customWidth="1"/>
    <col min="11527" max="11527" width="6.5703125" style="105" customWidth="1"/>
    <col min="11528" max="11528" width="32.5703125" style="105" customWidth="1"/>
    <col min="11529" max="11531" width="10.7109375" style="105" customWidth="1"/>
    <col min="11532" max="11532" width="15.140625" style="105" customWidth="1"/>
    <col min="11533" max="11778" width="9.140625" style="105"/>
    <col min="11779" max="11779" width="20" style="105" customWidth="1"/>
    <col min="11780" max="11782" width="10.7109375" style="105" customWidth="1"/>
    <col min="11783" max="11783" width="6.5703125" style="105" customWidth="1"/>
    <col min="11784" max="11784" width="32.5703125" style="105" customWidth="1"/>
    <col min="11785" max="11787" width="10.7109375" style="105" customWidth="1"/>
    <col min="11788" max="11788" width="15.140625" style="105" customWidth="1"/>
    <col min="11789" max="12034" width="9.140625" style="105"/>
    <col min="12035" max="12035" width="20" style="105" customWidth="1"/>
    <col min="12036" max="12038" width="10.7109375" style="105" customWidth="1"/>
    <col min="12039" max="12039" width="6.5703125" style="105" customWidth="1"/>
    <col min="12040" max="12040" width="32.5703125" style="105" customWidth="1"/>
    <col min="12041" max="12043" width="10.7109375" style="105" customWidth="1"/>
    <col min="12044" max="12044" width="15.140625" style="105" customWidth="1"/>
    <col min="12045" max="12290" width="9.140625" style="105"/>
    <col min="12291" max="12291" width="20" style="105" customWidth="1"/>
    <col min="12292" max="12294" width="10.7109375" style="105" customWidth="1"/>
    <col min="12295" max="12295" width="6.5703125" style="105" customWidth="1"/>
    <col min="12296" max="12296" width="32.5703125" style="105" customWidth="1"/>
    <col min="12297" max="12299" width="10.7109375" style="105" customWidth="1"/>
    <col min="12300" max="12300" width="15.140625" style="105" customWidth="1"/>
    <col min="12301" max="12546" width="9.140625" style="105"/>
    <col min="12547" max="12547" width="20" style="105" customWidth="1"/>
    <col min="12548" max="12550" width="10.7109375" style="105" customWidth="1"/>
    <col min="12551" max="12551" width="6.5703125" style="105" customWidth="1"/>
    <col min="12552" max="12552" width="32.5703125" style="105" customWidth="1"/>
    <col min="12553" max="12555" width="10.7109375" style="105" customWidth="1"/>
    <col min="12556" max="12556" width="15.140625" style="105" customWidth="1"/>
    <col min="12557" max="12802" width="9.140625" style="105"/>
    <col min="12803" max="12803" width="20" style="105" customWidth="1"/>
    <col min="12804" max="12806" width="10.7109375" style="105" customWidth="1"/>
    <col min="12807" max="12807" width="6.5703125" style="105" customWidth="1"/>
    <col min="12808" max="12808" width="32.5703125" style="105" customWidth="1"/>
    <col min="12809" max="12811" width="10.7109375" style="105" customWidth="1"/>
    <col min="12812" max="12812" width="15.140625" style="105" customWidth="1"/>
    <col min="12813" max="13058" width="9.140625" style="105"/>
    <col min="13059" max="13059" width="20" style="105" customWidth="1"/>
    <col min="13060" max="13062" width="10.7109375" style="105" customWidth="1"/>
    <col min="13063" max="13063" width="6.5703125" style="105" customWidth="1"/>
    <col min="13064" max="13064" width="32.5703125" style="105" customWidth="1"/>
    <col min="13065" max="13067" width="10.7109375" style="105" customWidth="1"/>
    <col min="13068" max="13068" width="15.140625" style="105" customWidth="1"/>
    <col min="13069" max="13314" width="9.140625" style="105"/>
    <col min="13315" max="13315" width="20" style="105" customWidth="1"/>
    <col min="13316" max="13318" width="10.7109375" style="105" customWidth="1"/>
    <col min="13319" max="13319" width="6.5703125" style="105" customWidth="1"/>
    <col min="13320" max="13320" width="32.5703125" style="105" customWidth="1"/>
    <col min="13321" max="13323" width="10.7109375" style="105" customWidth="1"/>
    <col min="13324" max="13324" width="15.140625" style="105" customWidth="1"/>
    <col min="13325" max="13570" width="9.140625" style="105"/>
    <col min="13571" max="13571" width="20" style="105" customWidth="1"/>
    <col min="13572" max="13574" width="10.7109375" style="105" customWidth="1"/>
    <col min="13575" max="13575" width="6.5703125" style="105" customWidth="1"/>
    <col min="13576" max="13576" width="32.5703125" style="105" customWidth="1"/>
    <col min="13577" max="13579" width="10.7109375" style="105" customWidth="1"/>
    <col min="13580" max="13580" width="15.140625" style="105" customWidth="1"/>
    <col min="13581" max="13826" width="9.140625" style="105"/>
    <col min="13827" max="13827" width="20" style="105" customWidth="1"/>
    <col min="13828" max="13830" width="10.7109375" style="105" customWidth="1"/>
    <col min="13831" max="13831" width="6.5703125" style="105" customWidth="1"/>
    <col min="13832" max="13832" width="32.5703125" style="105" customWidth="1"/>
    <col min="13833" max="13835" width="10.7109375" style="105" customWidth="1"/>
    <col min="13836" max="13836" width="15.140625" style="105" customWidth="1"/>
    <col min="13837" max="14082" width="9.140625" style="105"/>
    <col min="14083" max="14083" width="20" style="105" customWidth="1"/>
    <col min="14084" max="14086" width="10.7109375" style="105" customWidth="1"/>
    <col min="14087" max="14087" width="6.5703125" style="105" customWidth="1"/>
    <col min="14088" max="14088" width="32.5703125" style="105" customWidth="1"/>
    <col min="14089" max="14091" width="10.7109375" style="105" customWidth="1"/>
    <col min="14092" max="14092" width="15.140625" style="105" customWidth="1"/>
    <col min="14093" max="14338" width="9.140625" style="105"/>
    <col min="14339" max="14339" width="20" style="105" customWidth="1"/>
    <col min="14340" max="14342" width="10.7109375" style="105" customWidth="1"/>
    <col min="14343" max="14343" width="6.5703125" style="105" customWidth="1"/>
    <col min="14344" max="14344" width="32.5703125" style="105" customWidth="1"/>
    <col min="14345" max="14347" width="10.7109375" style="105" customWidth="1"/>
    <col min="14348" max="14348" width="15.140625" style="105" customWidth="1"/>
    <col min="14349" max="14594" width="9.140625" style="105"/>
    <col min="14595" max="14595" width="20" style="105" customWidth="1"/>
    <col min="14596" max="14598" width="10.7109375" style="105" customWidth="1"/>
    <col min="14599" max="14599" width="6.5703125" style="105" customWidth="1"/>
    <col min="14600" max="14600" width="32.5703125" style="105" customWidth="1"/>
    <col min="14601" max="14603" width="10.7109375" style="105" customWidth="1"/>
    <col min="14604" max="14604" width="15.140625" style="105" customWidth="1"/>
    <col min="14605" max="14850" width="9.140625" style="105"/>
    <col min="14851" max="14851" width="20" style="105" customWidth="1"/>
    <col min="14852" max="14854" width="10.7109375" style="105" customWidth="1"/>
    <col min="14855" max="14855" width="6.5703125" style="105" customWidth="1"/>
    <col min="14856" max="14856" width="32.5703125" style="105" customWidth="1"/>
    <col min="14857" max="14859" width="10.7109375" style="105" customWidth="1"/>
    <col min="14860" max="14860" width="15.140625" style="105" customWidth="1"/>
    <col min="14861" max="15106" width="9.140625" style="105"/>
    <col min="15107" max="15107" width="20" style="105" customWidth="1"/>
    <col min="15108" max="15110" width="10.7109375" style="105" customWidth="1"/>
    <col min="15111" max="15111" width="6.5703125" style="105" customWidth="1"/>
    <col min="15112" max="15112" width="32.5703125" style="105" customWidth="1"/>
    <col min="15113" max="15115" width="10.7109375" style="105" customWidth="1"/>
    <col min="15116" max="15116" width="15.140625" style="105" customWidth="1"/>
    <col min="15117" max="15362" width="9.140625" style="105"/>
    <col min="15363" max="15363" width="20" style="105" customWidth="1"/>
    <col min="15364" max="15366" width="10.7109375" style="105" customWidth="1"/>
    <col min="15367" max="15367" width="6.5703125" style="105" customWidth="1"/>
    <col min="15368" max="15368" width="32.5703125" style="105" customWidth="1"/>
    <col min="15369" max="15371" width="10.7109375" style="105" customWidth="1"/>
    <col min="15372" max="15372" width="15.140625" style="105" customWidth="1"/>
    <col min="15373" max="15618" width="9.140625" style="105"/>
    <col min="15619" max="15619" width="20" style="105" customWidth="1"/>
    <col min="15620" max="15622" width="10.7109375" style="105" customWidth="1"/>
    <col min="15623" max="15623" width="6.5703125" style="105" customWidth="1"/>
    <col min="15624" max="15624" width="32.5703125" style="105" customWidth="1"/>
    <col min="15625" max="15627" width="10.7109375" style="105" customWidth="1"/>
    <col min="15628" max="15628" width="15.140625" style="105" customWidth="1"/>
    <col min="15629" max="15874" width="9.140625" style="105"/>
    <col min="15875" max="15875" width="20" style="105" customWidth="1"/>
    <col min="15876" max="15878" width="10.7109375" style="105" customWidth="1"/>
    <col min="15879" max="15879" width="6.5703125" style="105" customWidth="1"/>
    <col min="15880" max="15880" width="32.5703125" style="105" customWidth="1"/>
    <col min="15881" max="15883" width="10.7109375" style="105" customWidth="1"/>
    <col min="15884" max="15884" width="15.140625" style="105" customWidth="1"/>
    <col min="15885" max="16130" width="9.140625" style="105"/>
    <col min="16131" max="16131" width="20" style="105" customWidth="1"/>
    <col min="16132" max="16134" width="10.7109375" style="105" customWidth="1"/>
    <col min="16135" max="16135" width="6.5703125" style="105" customWidth="1"/>
    <col min="16136" max="16136" width="32.5703125" style="105" customWidth="1"/>
    <col min="16137" max="16139" width="10.7109375" style="105" customWidth="1"/>
    <col min="16140" max="16140" width="15.140625" style="105" customWidth="1"/>
    <col min="16141" max="16384" width="9.140625" style="105"/>
  </cols>
  <sheetData>
    <row r="1" spans="1:12" ht="12" customHeight="1" x14ac:dyDescent="0.2">
      <c r="A1" s="105" t="s">
        <v>455</v>
      </c>
      <c r="H1" s="588"/>
      <c r="J1" s="492"/>
      <c r="K1" s="543" t="s">
        <v>1843</v>
      </c>
      <c r="L1" s="492"/>
    </row>
    <row r="2" spans="1:12" ht="12" customHeight="1" x14ac:dyDescent="0.2">
      <c r="H2" s="588"/>
      <c r="J2" s="492"/>
      <c r="K2" s="492"/>
      <c r="L2" s="492"/>
    </row>
    <row r="3" spans="1:12" ht="12" customHeight="1" x14ac:dyDescent="0.2">
      <c r="A3" s="862" t="s">
        <v>282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528"/>
    </row>
    <row r="4" spans="1:12" ht="12" customHeight="1" x14ac:dyDescent="0.2">
      <c r="A4" s="905"/>
      <c r="B4" s="905"/>
      <c r="C4" s="905"/>
      <c r="D4" s="589"/>
      <c r="E4" s="589"/>
      <c r="F4" s="108"/>
      <c r="G4" s="906"/>
      <c r="H4" s="906"/>
      <c r="J4" s="497"/>
      <c r="K4" s="497" t="s">
        <v>281</v>
      </c>
      <c r="L4" s="497"/>
    </row>
    <row r="5" spans="1:12" ht="12" customHeight="1" x14ac:dyDescent="0.2">
      <c r="A5" s="864" t="s">
        <v>3</v>
      </c>
      <c r="B5" s="864"/>
      <c r="C5" s="864"/>
      <c r="D5" s="864"/>
      <c r="E5" s="864"/>
      <c r="F5" s="864"/>
      <c r="G5" s="864" t="s">
        <v>4</v>
      </c>
      <c r="H5" s="864"/>
      <c r="I5" s="864"/>
      <c r="J5" s="864"/>
      <c r="K5" s="864"/>
      <c r="L5" s="35"/>
    </row>
    <row r="6" spans="1:12" x14ac:dyDescent="0.2">
      <c r="A6" s="843" t="s">
        <v>50</v>
      </c>
      <c r="B6" s="844"/>
      <c r="C6" s="845"/>
      <c r="D6" s="692" t="s">
        <v>280</v>
      </c>
      <c r="E6" s="693"/>
      <c r="F6" s="694"/>
      <c r="G6" s="843" t="s">
        <v>50</v>
      </c>
      <c r="H6" s="845"/>
      <c r="I6" s="864" t="s">
        <v>280</v>
      </c>
      <c r="J6" s="864"/>
      <c r="K6" s="864"/>
      <c r="L6" s="35"/>
    </row>
    <row r="7" spans="1:12" x14ac:dyDescent="0.2">
      <c r="A7" s="846"/>
      <c r="B7" s="847"/>
      <c r="C7" s="848"/>
      <c r="D7" s="529">
        <v>2015</v>
      </c>
      <c r="E7" s="529">
        <v>2016</v>
      </c>
      <c r="F7" s="529">
        <v>2017</v>
      </c>
      <c r="G7" s="846"/>
      <c r="H7" s="848"/>
      <c r="I7" s="529">
        <v>2015</v>
      </c>
      <c r="J7" s="529">
        <v>2016</v>
      </c>
      <c r="K7" s="529">
        <v>2017</v>
      </c>
      <c r="L7" s="35"/>
    </row>
    <row r="8" spans="1:12" ht="12" customHeight="1" x14ac:dyDescent="0.2">
      <c r="A8" s="889" t="s">
        <v>279</v>
      </c>
      <c r="B8" s="899"/>
      <c r="C8" s="890"/>
      <c r="D8" s="46">
        <v>110</v>
      </c>
      <c r="E8" s="46">
        <v>110</v>
      </c>
      <c r="F8" s="46">
        <v>110</v>
      </c>
      <c r="G8" s="889" t="s">
        <v>278</v>
      </c>
      <c r="H8" s="890"/>
      <c r="I8" s="46">
        <v>8373</v>
      </c>
      <c r="J8" s="46">
        <f>+I8*1.028</f>
        <v>8607.4439999999995</v>
      </c>
      <c r="K8" s="46">
        <f>+J8*1.028</f>
        <v>8848.452432</v>
      </c>
      <c r="L8" s="164"/>
    </row>
    <row r="9" spans="1:12" ht="12" customHeight="1" x14ac:dyDescent="0.2">
      <c r="A9" s="889" t="s">
        <v>277</v>
      </c>
      <c r="B9" s="899"/>
      <c r="C9" s="890"/>
      <c r="D9" s="46"/>
      <c r="E9" s="46"/>
      <c r="F9" s="46"/>
      <c r="G9" s="888" t="s">
        <v>276</v>
      </c>
      <c r="H9" s="888"/>
      <c r="I9" s="46">
        <f>+I8*0.27</f>
        <v>2260.71</v>
      </c>
      <c r="J9" s="46">
        <f>+J8*0.27</f>
        <v>2324.0098800000001</v>
      </c>
      <c r="K9" s="46">
        <f>+K8*0.27</f>
        <v>2389.08215664</v>
      </c>
      <c r="L9" s="164"/>
    </row>
    <row r="10" spans="1:12" ht="12" customHeight="1" x14ac:dyDescent="0.2">
      <c r="A10" s="889" t="s">
        <v>275</v>
      </c>
      <c r="B10" s="899"/>
      <c r="C10" s="890"/>
      <c r="D10" s="46">
        <v>935</v>
      </c>
      <c r="E10" s="46">
        <f>+D10*1.025</f>
        <v>958.37499999999989</v>
      </c>
      <c r="F10" s="46">
        <f>+E10*1.025</f>
        <v>982.3343749999998</v>
      </c>
      <c r="G10" s="888" t="s">
        <v>274</v>
      </c>
      <c r="H10" s="888"/>
      <c r="I10" s="46">
        <f>5365*1.028</f>
        <v>5515.22</v>
      </c>
      <c r="J10" s="46">
        <f>+I10*1.028</f>
        <v>5669.6461600000002</v>
      </c>
      <c r="K10" s="46">
        <f>+J10*1.028</f>
        <v>5828.3962524799999</v>
      </c>
      <c r="L10" s="164"/>
    </row>
    <row r="11" spans="1:12" ht="12" customHeight="1" x14ac:dyDescent="0.2">
      <c r="A11" s="889" t="s">
        <v>273</v>
      </c>
      <c r="B11" s="899"/>
      <c r="C11" s="890"/>
      <c r="D11" s="46"/>
      <c r="E11" s="46"/>
      <c r="F11" s="46"/>
      <c r="G11" s="888" t="s">
        <v>272</v>
      </c>
      <c r="H11" s="888"/>
      <c r="I11" s="46"/>
      <c r="J11" s="46"/>
      <c r="K11" s="46"/>
      <c r="L11" s="164"/>
    </row>
    <row r="12" spans="1:12" ht="12" customHeight="1" x14ac:dyDescent="0.2">
      <c r="A12" s="888"/>
      <c r="B12" s="888"/>
      <c r="C12" s="888"/>
      <c r="D12" s="46"/>
      <c r="E12" s="46"/>
      <c r="F12" s="46"/>
      <c r="G12" s="888" t="s">
        <v>271</v>
      </c>
      <c r="H12" s="888"/>
      <c r="I12" s="46"/>
      <c r="J12" s="46"/>
      <c r="K12" s="46"/>
      <c r="L12" s="164"/>
    </row>
    <row r="13" spans="1:12" ht="12" customHeight="1" x14ac:dyDescent="0.2">
      <c r="A13" s="902"/>
      <c r="B13" s="902"/>
      <c r="C13" s="902"/>
      <c r="D13" s="46"/>
      <c r="E13" s="46"/>
      <c r="F13" s="46"/>
      <c r="G13" s="900" t="s">
        <v>270</v>
      </c>
      <c r="H13" s="901"/>
      <c r="I13" s="46"/>
      <c r="J13" s="46"/>
      <c r="K13" s="46"/>
      <c r="L13" s="164"/>
    </row>
    <row r="14" spans="1:12" ht="12" customHeight="1" x14ac:dyDescent="0.2">
      <c r="A14" s="903"/>
      <c r="B14" s="903"/>
      <c r="C14" s="903"/>
      <c r="D14" s="46"/>
      <c r="E14" s="46"/>
      <c r="F14" s="46"/>
      <c r="G14" s="889" t="s">
        <v>269</v>
      </c>
      <c r="H14" s="890"/>
      <c r="I14" s="46"/>
      <c r="J14" s="46"/>
      <c r="K14" s="46"/>
      <c r="L14" s="164"/>
    </row>
    <row r="15" spans="1:12" s="107" customFormat="1" ht="23.25" customHeight="1" x14ac:dyDescent="0.2">
      <c r="A15" s="894" t="s">
        <v>268</v>
      </c>
      <c r="B15" s="904"/>
      <c r="C15" s="895"/>
      <c r="D15" s="47">
        <f>SUM(D8:D11)</f>
        <v>1045</v>
      </c>
      <c r="E15" s="47">
        <f>SUM(E8:E11)</f>
        <v>1068.375</v>
      </c>
      <c r="F15" s="47">
        <f>SUM(F8:F11)</f>
        <v>1092.3343749999999</v>
      </c>
      <c r="G15" s="894" t="s">
        <v>267</v>
      </c>
      <c r="H15" s="895"/>
      <c r="I15" s="47">
        <f>SUM(I8:I12)</f>
        <v>16148.93</v>
      </c>
      <c r="J15" s="47">
        <f>SUM(J8:J12)</f>
        <v>16601.100039999998</v>
      </c>
      <c r="K15" s="47">
        <f>SUM(K8:K12)</f>
        <v>17065.93084112</v>
      </c>
      <c r="L15" s="114"/>
    </row>
    <row r="16" spans="1:12" ht="12" customHeight="1" x14ac:dyDescent="0.2">
      <c r="A16" s="889"/>
      <c r="B16" s="899"/>
      <c r="C16" s="890"/>
      <c r="D16" s="47"/>
      <c r="E16" s="47"/>
      <c r="F16" s="47"/>
      <c r="G16" s="889"/>
      <c r="H16" s="890"/>
      <c r="I16" s="46"/>
      <c r="J16" s="46"/>
      <c r="K16" s="46"/>
      <c r="L16" s="164"/>
    </row>
    <row r="17" spans="1:12" ht="12" customHeight="1" x14ac:dyDescent="0.2">
      <c r="A17" s="889" t="s">
        <v>253</v>
      </c>
      <c r="B17" s="899"/>
      <c r="C17" s="890"/>
      <c r="D17" s="46"/>
      <c r="E17" s="46"/>
      <c r="F17" s="46"/>
      <c r="G17" s="889" t="s">
        <v>266</v>
      </c>
      <c r="H17" s="890"/>
      <c r="I17" s="46"/>
      <c r="J17" s="46"/>
      <c r="K17" s="46"/>
    </row>
    <row r="18" spans="1:12" ht="12" customHeight="1" x14ac:dyDescent="0.2">
      <c r="A18" s="887" t="s">
        <v>251</v>
      </c>
      <c r="B18" s="887"/>
      <c r="C18" s="887"/>
      <c r="D18" s="46"/>
      <c r="E18" s="46"/>
      <c r="F18" s="46"/>
      <c r="G18" s="887" t="s">
        <v>250</v>
      </c>
      <c r="H18" s="887"/>
      <c r="I18" s="46"/>
      <c r="J18" s="46"/>
      <c r="K18" s="46"/>
    </row>
    <row r="19" spans="1:12" ht="12" customHeight="1" x14ac:dyDescent="0.2">
      <c r="A19" s="887" t="s">
        <v>249</v>
      </c>
      <c r="B19" s="887"/>
      <c r="C19" s="887"/>
      <c r="D19" s="46"/>
      <c r="E19" s="46"/>
      <c r="F19" s="46"/>
      <c r="G19" s="887" t="s">
        <v>265</v>
      </c>
      <c r="H19" s="887"/>
      <c r="I19" s="46"/>
      <c r="J19" s="46"/>
      <c r="K19" s="46"/>
    </row>
    <row r="20" spans="1:12" ht="12" customHeight="1" x14ac:dyDescent="0.2">
      <c r="A20" s="888" t="s">
        <v>247</v>
      </c>
      <c r="B20" s="888"/>
      <c r="C20" s="888"/>
      <c r="D20" s="46"/>
      <c r="E20" s="46"/>
      <c r="F20" s="46"/>
      <c r="G20" s="887" t="s">
        <v>246</v>
      </c>
      <c r="H20" s="887"/>
      <c r="I20" s="46"/>
      <c r="J20" s="46"/>
      <c r="K20" s="46"/>
    </row>
    <row r="21" spans="1:12" ht="12" customHeight="1" x14ac:dyDescent="0.2">
      <c r="A21" s="888" t="s">
        <v>245</v>
      </c>
      <c r="B21" s="888"/>
      <c r="C21" s="888"/>
      <c r="D21" s="46"/>
      <c r="E21" s="46"/>
      <c r="F21" s="46"/>
      <c r="G21" s="887" t="s">
        <v>244</v>
      </c>
      <c r="H21" s="887"/>
      <c r="I21" s="46"/>
      <c r="J21" s="46"/>
      <c r="K21" s="46"/>
    </row>
    <row r="22" spans="1:12" ht="12" customHeight="1" x14ac:dyDescent="0.2">
      <c r="A22" s="887" t="s">
        <v>243</v>
      </c>
      <c r="B22" s="887"/>
      <c r="C22" s="887"/>
      <c r="D22" s="46">
        <f>+I26-D15</f>
        <v>15103.93</v>
      </c>
      <c r="E22" s="46">
        <f>+J26-E15</f>
        <v>15532.725039999998</v>
      </c>
      <c r="F22" s="46">
        <f>+K26-F15</f>
        <v>15973.59646612</v>
      </c>
      <c r="G22" s="887" t="s">
        <v>242</v>
      </c>
      <c r="H22" s="887"/>
      <c r="I22" s="46"/>
      <c r="J22" s="46"/>
      <c r="K22" s="46"/>
    </row>
    <row r="23" spans="1:12" ht="12" customHeight="1" x14ac:dyDescent="0.2">
      <c r="A23" s="891"/>
      <c r="B23" s="891"/>
      <c r="C23" s="891"/>
      <c r="D23" s="46"/>
      <c r="E23" s="46"/>
      <c r="F23" s="46"/>
      <c r="G23" s="887" t="s">
        <v>241</v>
      </c>
      <c r="H23" s="887"/>
      <c r="I23" s="46"/>
      <c r="J23" s="46"/>
      <c r="K23" s="46"/>
    </row>
    <row r="24" spans="1:12" ht="12" customHeight="1" x14ac:dyDescent="0.2">
      <c r="A24" s="902" t="s">
        <v>264</v>
      </c>
      <c r="B24" s="902"/>
      <c r="C24" s="902"/>
      <c r="D24" s="47">
        <f>SUM(D17:D22)</f>
        <v>15103.93</v>
      </c>
      <c r="E24" s="47">
        <f>SUM(E17:E22)</f>
        <v>15532.725039999998</v>
      </c>
      <c r="F24" s="47">
        <f>SUM(F17:F22)</f>
        <v>15973.59646612</v>
      </c>
      <c r="G24" s="894" t="s">
        <v>263</v>
      </c>
      <c r="H24" s="895"/>
      <c r="I24" s="47">
        <f>SUM(I17:I23)</f>
        <v>0</v>
      </c>
      <c r="J24" s="47">
        <f>SUM(J17:J23)</f>
        <v>0</v>
      </c>
      <c r="K24" s="47">
        <f>SUM(K17:K23)</f>
        <v>0</v>
      </c>
      <c r="L24" s="164"/>
    </row>
    <row r="25" spans="1:12" ht="12" customHeight="1" x14ac:dyDescent="0.2">
      <c r="A25" s="903"/>
      <c r="B25" s="903"/>
      <c r="C25" s="903"/>
      <c r="D25" s="47"/>
      <c r="E25" s="47"/>
      <c r="F25" s="47"/>
      <c r="G25" s="892"/>
      <c r="H25" s="893"/>
      <c r="I25" s="47"/>
      <c r="J25" s="47"/>
      <c r="K25" s="47"/>
      <c r="L25" s="164"/>
    </row>
    <row r="26" spans="1:12" ht="12" customHeight="1" x14ac:dyDescent="0.2">
      <c r="A26" s="902" t="s">
        <v>262</v>
      </c>
      <c r="B26" s="902"/>
      <c r="C26" s="902"/>
      <c r="D26" s="47">
        <f>+D15+D24</f>
        <v>16148.93</v>
      </c>
      <c r="E26" s="47">
        <f>+E15+E24</f>
        <v>16601.100039999998</v>
      </c>
      <c r="F26" s="47">
        <f>+F15+F24</f>
        <v>17065.93084112</v>
      </c>
      <c r="G26" s="894" t="s">
        <v>261</v>
      </c>
      <c r="H26" s="895"/>
      <c r="I26" s="47">
        <f>+I15+I24</f>
        <v>16148.93</v>
      </c>
      <c r="J26" s="47">
        <f>+J15+J24</f>
        <v>16601.100039999998</v>
      </c>
      <c r="K26" s="47">
        <f>+K15+K24</f>
        <v>17065.93084112</v>
      </c>
      <c r="L26" s="164"/>
    </row>
    <row r="27" spans="1:12" ht="12" customHeight="1" x14ac:dyDescent="0.2">
      <c r="A27" s="888"/>
      <c r="B27" s="888"/>
      <c r="C27" s="888"/>
      <c r="D27" s="47"/>
      <c r="E27" s="47"/>
      <c r="F27" s="47"/>
      <c r="G27" s="889"/>
      <c r="H27" s="890"/>
      <c r="I27" s="46"/>
      <c r="J27" s="46"/>
      <c r="K27" s="46"/>
      <c r="L27" s="164"/>
    </row>
    <row r="28" spans="1:12" ht="12.75" customHeight="1" x14ac:dyDescent="0.2">
      <c r="A28" s="889" t="s">
        <v>260</v>
      </c>
      <c r="B28" s="899"/>
      <c r="C28" s="890"/>
      <c r="D28" s="46"/>
      <c r="E28" s="46"/>
      <c r="F28" s="46"/>
      <c r="G28" s="889" t="s">
        <v>259</v>
      </c>
      <c r="H28" s="890"/>
      <c r="I28" s="46">
        <v>300</v>
      </c>
      <c r="J28" s="46">
        <v>310</v>
      </c>
      <c r="K28" s="46">
        <v>320</v>
      </c>
      <c r="L28" s="164"/>
    </row>
    <row r="29" spans="1:12" ht="12" customHeight="1" x14ac:dyDescent="0.2">
      <c r="A29" s="889" t="s">
        <v>258</v>
      </c>
      <c r="B29" s="899"/>
      <c r="C29" s="890"/>
      <c r="D29" s="46"/>
      <c r="E29" s="46"/>
      <c r="F29" s="46"/>
      <c r="G29" s="889" t="s">
        <v>198</v>
      </c>
      <c r="H29" s="890"/>
      <c r="I29" s="46"/>
      <c r="J29" s="46"/>
      <c r="K29" s="46"/>
      <c r="L29" s="164"/>
    </row>
    <row r="30" spans="1:12" ht="12" customHeight="1" x14ac:dyDescent="0.2">
      <c r="A30" s="888" t="s">
        <v>257</v>
      </c>
      <c r="B30" s="888"/>
      <c r="C30" s="888"/>
      <c r="D30" s="46"/>
      <c r="E30" s="46"/>
      <c r="F30" s="46"/>
      <c r="G30" s="889" t="s">
        <v>256</v>
      </c>
      <c r="H30" s="890"/>
      <c r="I30" s="46"/>
      <c r="J30" s="46"/>
      <c r="K30" s="46"/>
      <c r="L30" s="164"/>
    </row>
    <row r="31" spans="1:12" ht="24" customHeight="1" x14ac:dyDescent="0.2">
      <c r="A31" s="894" t="s">
        <v>255</v>
      </c>
      <c r="B31" s="904"/>
      <c r="C31" s="895"/>
      <c r="D31" s="46">
        <f>SUM(D28:D30)</f>
        <v>0</v>
      </c>
      <c r="E31" s="46">
        <f>SUM(E28:E30)</f>
        <v>0</v>
      </c>
      <c r="F31" s="46">
        <f>SUM(F28:F30)</f>
        <v>0</v>
      </c>
      <c r="G31" s="894" t="s">
        <v>254</v>
      </c>
      <c r="H31" s="895"/>
      <c r="I31" s="47">
        <f>SUM(I28:I30)</f>
        <v>300</v>
      </c>
      <c r="J31" s="47">
        <f>SUM(J28:J30)</f>
        <v>310</v>
      </c>
      <c r="K31" s="46">
        <f>SUM(K28:K30)</f>
        <v>320</v>
      </c>
      <c r="L31" s="164"/>
    </row>
    <row r="32" spans="1:12" ht="12" customHeight="1" x14ac:dyDescent="0.2">
      <c r="A32" s="888"/>
      <c r="B32" s="888"/>
      <c r="C32" s="888"/>
      <c r="D32" s="46"/>
      <c r="E32" s="46"/>
      <c r="F32" s="46"/>
      <c r="G32" s="889"/>
      <c r="H32" s="890"/>
      <c r="I32" s="46"/>
      <c r="J32" s="46"/>
      <c r="K32" s="46"/>
      <c r="L32" s="164"/>
    </row>
    <row r="33" spans="1:12" ht="12" customHeight="1" x14ac:dyDescent="0.2">
      <c r="A33" s="889" t="s">
        <v>253</v>
      </c>
      <c r="B33" s="899"/>
      <c r="C33" s="890"/>
      <c r="D33" s="46"/>
      <c r="E33" s="46"/>
      <c r="F33" s="46"/>
      <c r="G33" s="889" t="s">
        <v>252</v>
      </c>
      <c r="H33" s="890"/>
      <c r="I33" s="46"/>
      <c r="J33" s="46"/>
      <c r="K33" s="46"/>
    </row>
    <row r="34" spans="1:12" ht="12" customHeight="1" x14ac:dyDescent="0.2">
      <c r="A34" s="887" t="s">
        <v>251</v>
      </c>
      <c r="B34" s="887"/>
      <c r="C34" s="887"/>
      <c r="D34" s="46"/>
      <c r="E34" s="46"/>
      <c r="F34" s="46"/>
      <c r="G34" s="887" t="s">
        <v>250</v>
      </c>
      <c r="H34" s="887"/>
      <c r="I34" s="46"/>
      <c r="J34" s="46"/>
      <c r="K34" s="46"/>
    </row>
    <row r="35" spans="1:12" ht="12" customHeight="1" x14ac:dyDescent="0.2">
      <c r="A35" s="887" t="s">
        <v>249</v>
      </c>
      <c r="B35" s="887"/>
      <c r="C35" s="887"/>
      <c r="D35" s="46"/>
      <c r="E35" s="46"/>
      <c r="F35" s="46"/>
      <c r="G35" s="889" t="s">
        <v>248</v>
      </c>
      <c r="H35" s="890"/>
      <c r="I35" s="46"/>
      <c r="J35" s="46"/>
      <c r="K35" s="46"/>
    </row>
    <row r="36" spans="1:12" ht="12" customHeight="1" x14ac:dyDescent="0.2">
      <c r="A36" s="888" t="s">
        <v>247</v>
      </c>
      <c r="B36" s="888"/>
      <c r="C36" s="888"/>
      <c r="D36" s="46"/>
      <c r="E36" s="46"/>
      <c r="F36" s="46"/>
      <c r="G36" s="889" t="s">
        <v>246</v>
      </c>
      <c r="H36" s="890"/>
      <c r="I36" s="46"/>
      <c r="J36" s="46"/>
      <c r="K36" s="46"/>
    </row>
    <row r="37" spans="1:12" ht="12" customHeight="1" x14ac:dyDescent="0.2">
      <c r="A37" s="888" t="s">
        <v>245</v>
      </c>
      <c r="B37" s="888"/>
      <c r="C37" s="888"/>
      <c r="D37" s="46"/>
      <c r="E37" s="46"/>
      <c r="F37" s="46"/>
      <c r="G37" s="887" t="s">
        <v>244</v>
      </c>
      <c r="H37" s="887"/>
      <c r="I37" s="46"/>
      <c r="J37" s="46"/>
      <c r="K37" s="46"/>
    </row>
    <row r="38" spans="1:12" ht="12" customHeight="1" x14ac:dyDescent="0.2">
      <c r="A38" s="887" t="s">
        <v>243</v>
      </c>
      <c r="B38" s="887"/>
      <c r="C38" s="887"/>
      <c r="D38" s="46">
        <f>+I31</f>
        <v>300</v>
      </c>
      <c r="E38" s="46">
        <f>+J31</f>
        <v>310</v>
      </c>
      <c r="F38" s="46">
        <f>+K31</f>
        <v>320</v>
      </c>
      <c r="G38" s="887" t="s">
        <v>242</v>
      </c>
      <c r="H38" s="887"/>
      <c r="I38" s="46"/>
      <c r="J38" s="46"/>
      <c r="K38" s="46"/>
    </row>
    <row r="39" spans="1:12" ht="12" customHeight="1" x14ac:dyDescent="0.2">
      <c r="A39" s="891"/>
      <c r="B39" s="891"/>
      <c r="C39" s="891"/>
      <c r="D39" s="46"/>
      <c r="E39" s="46"/>
      <c r="F39" s="46"/>
      <c r="G39" s="887" t="s">
        <v>241</v>
      </c>
      <c r="H39" s="887"/>
      <c r="I39" s="46"/>
      <c r="J39" s="46"/>
      <c r="K39" s="46"/>
    </row>
    <row r="40" spans="1:12" ht="12" customHeight="1" x14ac:dyDescent="0.2">
      <c r="A40" s="894" t="s">
        <v>240</v>
      </c>
      <c r="B40" s="904"/>
      <c r="C40" s="895"/>
      <c r="D40" s="47">
        <f>SUM(D33:D38)</f>
        <v>300</v>
      </c>
      <c r="E40" s="47">
        <f>SUM(E33:E38)</f>
        <v>310</v>
      </c>
      <c r="F40" s="47">
        <f>SUM(F33:F38)</f>
        <v>320</v>
      </c>
      <c r="G40" s="894" t="s">
        <v>239</v>
      </c>
      <c r="H40" s="895"/>
      <c r="I40" s="47">
        <f>SUM(I33:I39)</f>
        <v>0</v>
      </c>
      <c r="J40" s="47">
        <f>SUM(J33:J39)</f>
        <v>0</v>
      </c>
      <c r="K40" s="47">
        <f>SUM(K33:K39)</f>
        <v>0</v>
      </c>
      <c r="L40" s="164"/>
    </row>
    <row r="41" spans="1:12" ht="12" customHeight="1" x14ac:dyDescent="0.2">
      <c r="A41" s="888"/>
      <c r="B41" s="888"/>
      <c r="C41" s="888"/>
      <c r="D41" s="47"/>
      <c r="E41" s="47"/>
      <c r="F41" s="47"/>
      <c r="G41" s="889"/>
      <c r="H41" s="890"/>
      <c r="I41" s="47"/>
      <c r="J41" s="47"/>
      <c r="K41" s="47"/>
      <c r="L41" s="164"/>
    </row>
    <row r="42" spans="1:12" ht="12.75" customHeight="1" x14ac:dyDescent="0.2">
      <c r="A42" s="902" t="s">
        <v>238</v>
      </c>
      <c r="B42" s="902"/>
      <c r="C42" s="902"/>
      <c r="D42" s="47">
        <f>+D31+D40</f>
        <v>300</v>
      </c>
      <c r="E42" s="47">
        <f>+E31+E40</f>
        <v>310</v>
      </c>
      <c r="F42" s="47">
        <f>+F31+F40</f>
        <v>320</v>
      </c>
      <c r="G42" s="894" t="s">
        <v>237</v>
      </c>
      <c r="H42" s="895"/>
      <c r="I42" s="47">
        <f>+I31+I40</f>
        <v>300</v>
      </c>
      <c r="J42" s="47">
        <f>+J31+J40</f>
        <v>310</v>
      </c>
      <c r="K42" s="47">
        <f>+K31+K40</f>
        <v>320</v>
      </c>
      <c r="L42" s="164"/>
    </row>
    <row r="43" spans="1:12" ht="12" customHeight="1" x14ac:dyDescent="0.2">
      <c r="A43" s="888"/>
      <c r="B43" s="888"/>
      <c r="C43" s="888"/>
      <c r="D43" s="47"/>
      <c r="E43" s="47"/>
      <c r="F43" s="47"/>
      <c r="G43" s="897"/>
      <c r="H43" s="898"/>
      <c r="I43" s="47"/>
      <c r="J43" s="47"/>
      <c r="K43" s="47"/>
      <c r="L43" s="164"/>
    </row>
    <row r="44" spans="1:12" ht="12.75" customHeight="1" x14ac:dyDescent="0.2">
      <c r="A44" s="896" t="s">
        <v>236</v>
      </c>
      <c r="B44" s="896"/>
      <c r="C44" s="896"/>
      <c r="D44" s="47">
        <f>+D26+D42</f>
        <v>16448.93</v>
      </c>
      <c r="E44" s="47">
        <f>+E26+E42</f>
        <v>16911.100039999998</v>
      </c>
      <c r="F44" s="47">
        <f>+F26+F42</f>
        <v>17385.93084112</v>
      </c>
      <c r="G44" s="896" t="s">
        <v>235</v>
      </c>
      <c r="H44" s="896"/>
      <c r="I44" s="47">
        <f>+I26+I42</f>
        <v>16448.93</v>
      </c>
      <c r="J44" s="47">
        <f>+J26+J42</f>
        <v>16911.100039999998</v>
      </c>
      <c r="K44" s="47">
        <f>+K26+K42</f>
        <v>17385.93084112</v>
      </c>
      <c r="L44" s="164"/>
    </row>
  </sheetData>
  <mergeCells count="83">
    <mergeCell ref="A44:C44"/>
    <mergeCell ref="G44:H44"/>
    <mergeCell ref="A41:C41"/>
    <mergeCell ref="G41:H41"/>
    <mergeCell ref="A42:C42"/>
    <mergeCell ref="G42:H42"/>
    <mergeCell ref="A43:C43"/>
    <mergeCell ref="G43:H43"/>
    <mergeCell ref="A38:C38"/>
    <mergeCell ref="G38:H38"/>
    <mergeCell ref="A39:C39"/>
    <mergeCell ref="G39:H39"/>
    <mergeCell ref="A40:C40"/>
    <mergeCell ref="G40:H40"/>
    <mergeCell ref="A35:C35"/>
    <mergeCell ref="G35:H35"/>
    <mergeCell ref="A36:C36"/>
    <mergeCell ref="G36:H36"/>
    <mergeCell ref="A37:C37"/>
    <mergeCell ref="G37:H37"/>
    <mergeCell ref="A32:C32"/>
    <mergeCell ref="G32:H32"/>
    <mergeCell ref="A33:C33"/>
    <mergeCell ref="G33:H33"/>
    <mergeCell ref="A34:C34"/>
    <mergeCell ref="G34:H34"/>
    <mergeCell ref="A29:C29"/>
    <mergeCell ref="G29:H29"/>
    <mergeCell ref="A30:C30"/>
    <mergeCell ref="G30:H30"/>
    <mergeCell ref="A31:C31"/>
    <mergeCell ref="G31:H31"/>
    <mergeCell ref="A26:C26"/>
    <mergeCell ref="G26:H26"/>
    <mergeCell ref="A27:C27"/>
    <mergeCell ref="G27:H27"/>
    <mergeCell ref="A28:C28"/>
    <mergeCell ref="G28:H28"/>
    <mergeCell ref="A23:C23"/>
    <mergeCell ref="G23:H23"/>
    <mergeCell ref="A24:C24"/>
    <mergeCell ref="G24:H24"/>
    <mergeCell ref="A25:C25"/>
    <mergeCell ref="G25:H25"/>
    <mergeCell ref="A20:C20"/>
    <mergeCell ref="G20:H20"/>
    <mergeCell ref="A21:C21"/>
    <mergeCell ref="G21:H21"/>
    <mergeCell ref="A22:C22"/>
    <mergeCell ref="G22:H22"/>
    <mergeCell ref="A17:C17"/>
    <mergeCell ref="G17:H17"/>
    <mergeCell ref="A18:C18"/>
    <mergeCell ref="G18:H18"/>
    <mergeCell ref="A19:C19"/>
    <mergeCell ref="G19:H19"/>
    <mergeCell ref="A14:C14"/>
    <mergeCell ref="G14:H14"/>
    <mergeCell ref="A15:C15"/>
    <mergeCell ref="G15:H15"/>
    <mergeCell ref="A16:C16"/>
    <mergeCell ref="G16:H16"/>
    <mergeCell ref="A11:C11"/>
    <mergeCell ref="G11:H11"/>
    <mergeCell ref="A12:C12"/>
    <mergeCell ref="G12:H12"/>
    <mergeCell ref="A13:C13"/>
    <mergeCell ref="G13:H13"/>
    <mergeCell ref="A8:C8"/>
    <mergeCell ref="G8:H8"/>
    <mergeCell ref="A9:C9"/>
    <mergeCell ref="G9:H9"/>
    <mergeCell ref="A10:C10"/>
    <mergeCell ref="G10:H10"/>
    <mergeCell ref="A6:C7"/>
    <mergeCell ref="D6:F6"/>
    <mergeCell ref="G6:H7"/>
    <mergeCell ref="I6:K6"/>
    <mergeCell ref="A3:K3"/>
    <mergeCell ref="A4:C4"/>
    <mergeCell ref="G4:H4"/>
    <mergeCell ref="A5:F5"/>
    <mergeCell ref="G5:K5"/>
  </mergeCells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opLeftCell="A24" workbookViewId="0">
      <selection activeCell="E69" sqref="E69"/>
    </sheetView>
  </sheetViews>
  <sheetFormatPr defaultRowHeight="12.75" x14ac:dyDescent="0.2"/>
  <cols>
    <col min="1" max="1" width="49.85546875" style="105" customWidth="1"/>
    <col min="2" max="3" width="9.5703125" style="105" bestFit="1" customWidth="1"/>
    <col min="4" max="4" width="9" style="105" customWidth="1"/>
    <col min="5" max="6" width="9.5703125" style="105" bestFit="1" customWidth="1"/>
    <col min="7" max="7" width="9.140625" style="105" customWidth="1"/>
    <col min="8" max="8" width="9.5703125" style="105" customWidth="1"/>
    <col min="9" max="9" width="10" style="105" customWidth="1"/>
    <col min="10" max="16384" width="9.140625" style="105"/>
  </cols>
  <sheetData>
    <row r="1" spans="1:7" x14ac:dyDescent="0.2">
      <c r="A1" s="565"/>
      <c r="G1" s="230" t="s">
        <v>1808</v>
      </c>
    </row>
    <row r="2" spans="1:7" x14ac:dyDescent="0.2">
      <c r="A2" s="676" t="s">
        <v>177</v>
      </c>
      <c r="B2" s="676"/>
      <c r="C2" s="676"/>
      <c r="D2" s="676"/>
      <c r="E2" s="676"/>
      <c r="F2" s="676"/>
      <c r="G2" s="676"/>
    </row>
    <row r="3" spans="1:7" x14ac:dyDescent="0.2">
      <c r="A3" s="670" t="s">
        <v>47</v>
      </c>
      <c r="B3" s="670"/>
      <c r="G3" s="497" t="s">
        <v>23</v>
      </c>
    </row>
    <row r="4" spans="1:7" ht="24.75" customHeight="1" x14ac:dyDescent="0.2">
      <c r="A4" s="566" t="s">
        <v>152</v>
      </c>
      <c r="B4" s="667" t="s">
        <v>147</v>
      </c>
      <c r="C4" s="668"/>
      <c r="D4" s="669"/>
      <c r="E4" s="667" t="s">
        <v>299</v>
      </c>
      <c r="F4" s="668" t="s">
        <v>299</v>
      </c>
      <c r="G4" s="669" t="s">
        <v>299</v>
      </c>
    </row>
    <row r="5" spans="1:7" ht="33.75" x14ac:dyDescent="0.2">
      <c r="A5" s="566"/>
      <c r="B5" s="157" t="s">
        <v>557</v>
      </c>
      <c r="C5" s="157" t="s">
        <v>1304</v>
      </c>
      <c r="D5" s="157" t="s">
        <v>1311</v>
      </c>
      <c r="E5" s="157" t="s">
        <v>557</v>
      </c>
      <c r="F5" s="157" t="s">
        <v>1304</v>
      </c>
      <c r="G5" s="157" t="s">
        <v>1311</v>
      </c>
    </row>
    <row r="6" spans="1:7" x14ac:dyDescent="0.2">
      <c r="A6" s="535" t="s">
        <v>176</v>
      </c>
      <c r="B6" s="567"/>
      <c r="C6" s="567"/>
      <c r="D6" s="567"/>
      <c r="E6" s="567"/>
      <c r="F6" s="567"/>
      <c r="G6" s="567"/>
    </row>
    <row r="7" spans="1:7" x14ac:dyDescent="0.2">
      <c r="A7" s="165" t="s">
        <v>175</v>
      </c>
      <c r="B7" s="567"/>
      <c r="C7" s="567"/>
      <c r="D7" s="567"/>
      <c r="E7" s="567"/>
      <c r="F7" s="567"/>
      <c r="G7" s="567"/>
    </row>
    <row r="8" spans="1:7" x14ac:dyDescent="0.2">
      <c r="A8" s="165" t="s">
        <v>174</v>
      </c>
      <c r="B8" s="567"/>
      <c r="C8" s="567"/>
      <c r="D8" s="567"/>
      <c r="E8" s="567"/>
      <c r="F8" s="567"/>
      <c r="G8" s="567"/>
    </row>
    <row r="9" spans="1:7" x14ac:dyDescent="0.2">
      <c r="A9" s="165"/>
      <c r="B9" s="567"/>
      <c r="C9" s="567"/>
      <c r="D9" s="567"/>
      <c r="E9" s="567"/>
      <c r="F9" s="567"/>
      <c r="G9" s="567"/>
    </row>
    <row r="10" spans="1:7" x14ac:dyDescent="0.2">
      <c r="A10" s="29" t="s">
        <v>293</v>
      </c>
      <c r="B10" s="25">
        <f>SUM(B12:B15)</f>
        <v>550700</v>
      </c>
      <c r="C10" s="25">
        <v>601053</v>
      </c>
      <c r="D10" s="25">
        <f>SUM(D12:D15)</f>
        <v>541851</v>
      </c>
      <c r="E10" s="29"/>
      <c r="F10" s="29"/>
      <c r="G10" s="29"/>
    </row>
    <row r="11" spans="1:7" x14ac:dyDescent="0.2">
      <c r="A11" s="165" t="s">
        <v>1</v>
      </c>
      <c r="B11" s="29"/>
      <c r="C11" s="29"/>
      <c r="D11" s="29"/>
      <c r="E11" s="29"/>
      <c r="F11" s="29"/>
      <c r="G11" s="29"/>
    </row>
    <row r="12" spans="1:7" x14ac:dyDescent="0.2">
      <c r="A12" s="21" t="s">
        <v>173</v>
      </c>
      <c r="B12" s="568">
        <v>171700</v>
      </c>
      <c r="C12" s="568"/>
      <c r="D12" s="568">
        <v>173882</v>
      </c>
      <c r="E12" s="568"/>
      <c r="F12" s="568"/>
      <c r="G12" s="568"/>
    </row>
    <row r="13" spans="1:7" x14ac:dyDescent="0.2">
      <c r="A13" s="165" t="s">
        <v>172</v>
      </c>
      <c r="B13" s="568"/>
      <c r="C13" s="568"/>
      <c r="D13" s="568"/>
      <c r="E13" s="568"/>
      <c r="F13" s="568"/>
      <c r="G13" s="568"/>
    </row>
    <row r="14" spans="1:7" x14ac:dyDescent="0.2">
      <c r="A14" s="569" t="s">
        <v>171</v>
      </c>
      <c r="B14" s="568">
        <v>183000</v>
      </c>
      <c r="C14" s="568"/>
      <c r="D14" s="568">
        <v>187390</v>
      </c>
      <c r="E14" s="568"/>
      <c r="F14" s="568"/>
      <c r="G14" s="568"/>
    </row>
    <row r="15" spans="1:7" x14ac:dyDescent="0.2">
      <c r="A15" s="569" t="s">
        <v>170</v>
      </c>
      <c r="B15" s="568">
        <v>196000</v>
      </c>
      <c r="C15" s="568"/>
      <c r="D15" s="568">
        <v>180579</v>
      </c>
      <c r="E15" s="568"/>
      <c r="F15" s="568"/>
      <c r="G15" s="568"/>
    </row>
    <row r="16" spans="1:7" x14ac:dyDescent="0.2">
      <c r="A16" s="569"/>
      <c r="B16" s="569"/>
      <c r="C16" s="569"/>
      <c r="D16" s="569"/>
      <c r="E16" s="569"/>
      <c r="F16" s="569"/>
      <c r="G16" s="569"/>
    </row>
    <row r="17" spans="1:7" x14ac:dyDescent="0.2">
      <c r="A17" s="570" t="s">
        <v>169</v>
      </c>
      <c r="B17" s="25">
        <f t="shared" ref="B17" si="0">SUM(B19:B20)</f>
        <v>3177000</v>
      </c>
      <c r="C17" s="25">
        <v>3377217</v>
      </c>
      <c r="D17" s="25">
        <f>SUM(D19:D20)</f>
        <v>2809922</v>
      </c>
      <c r="E17" s="569"/>
      <c r="F17" s="569"/>
      <c r="G17" s="569"/>
    </row>
    <row r="18" spans="1:7" x14ac:dyDescent="0.2">
      <c r="A18" s="569" t="s">
        <v>1</v>
      </c>
      <c r="B18" s="569"/>
      <c r="C18" s="569"/>
      <c r="D18" s="569"/>
      <c r="E18" s="569"/>
      <c r="F18" s="569"/>
      <c r="G18" s="569"/>
    </row>
    <row r="19" spans="1:7" x14ac:dyDescent="0.2">
      <c r="A19" s="569" t="s">
        <v>168</v>
      </c>
      <c r="B19" s="568">
        <v>3177000</v>
      </c>
      <c r="C19" s="568"/>
      <c r="D19" s="568">
        <v>2809705</v>
      </c>
      <c r="E19" s="568"/>
      <c r="F19" s="568"/>
      <c r="G19" s="568"/>
    </row>
    <row r="20" spans="1:7" x14ac:dyDescent="0.2">
      <c r="A20" s="571" t="s">
        <v>1294</v>
      </c>
      <c r="B20" s="569"/>
      <c r="C20" s="569"/>
      <c r="D20" s="568">
        <v>217</v>
      </c>
      <c r="E20" s="569"/>
      <c r="F20" s="569"/>
      <c r="G20" s="569"/>
    </row>
    <row r="21" spans="1:7" x14ac:dyDescent="0.2">
      <c r="A21" s="570" t="s">
        <v>167</v>
      </c>
      <c r="B21" s="25">
        <v>53900</v>
      </c>
      <c r="C21" s="25">
        <v>66122</v>
      </c>
      <c r="D21" s="25">
        <v>57918</v>
      </c>
      <c r="E21" s="568"/>
      <c r="F21" s="568"/>
      <c r="G21" s="568"/>
    </row>
    <row r="22" spans="1:7" x14ac:dyDescent="0.2">
      <c r="A22" s="570" t="s">
        <v>166</v>
      </c>
      <c r="B22" s="25">
        <f>SUM(B24:B26)</f>
        <v>41600</v>
      </c>
      <c r="C22" s="25">
        <v>34047</v>
      </c>
      <c r="D22" s="25">
        <f t="shared" ref="D22" si="1">SUM(D24:D26)</f>
        <v>17486</v>
      </c>
      <c r="E22" s="570"/>
      <c r="F22" s="570"/>
      <c r="G22" s="570"/>
    </row>
    <row r="23" spans="1:7" x14ac:dyDescent="0.2">
      <c r="A23" s="569" t="s">
        <v>1</v>
      </c>
      <c r="B23" s="569"/>
      <c r="C23" s="569"/>
      <c r="D23" s="569"/>
      <c r="E23" s="569"/>
      <c r="F23" s="569"/>
      <c r="G23" s="569"/>
    </row>
    <row r="24" spans="1:7" x14ac:dyDescent="0.2">
      <c r="A24" s="165" t="s">
        <v>165</v>
      </c>
      <c r="B24" s="568">
        <v>1600</v>
      </c>
      <c r="C24" s="568"/>
      <c r="D24" s="568">
        <v>2032</v>
      </c>
      <c r="E24" s="568"/>
      <c r="F24" s="568"/>
      <c r="G24" s="568"/>
    </row>
    <row r="25" spans="1:7" x14ac:dyDescent="0.2">
      <c r="A25" s="165" t="s">
        <v>164</v>
      </c>
      <c r="B25" s="568">
        <v>40000</v>
      </c>
      <c r="C25" s="568"/>
      <c r="D25" s="568">
        <v>15454</v>
      </c>
      <c r="E25" s="568"/>
      <c r="F25" s="568"/>
      <c r="G25" s="568"/>
    </row>
    <row r="26" spans="1:7" ht="22.5" x14ac:dyDescent="0.2">
      <c r="A26" s="21" t="s">
        <v>163</v>
      </c>
      <c r="B26" s="165"/>
      <c r="C26" s="165"/>
      <c r="D26" s="165"/>
      <c r="E26" s="165"/>
      <c r="F26" s="165"/>
      <c r="G26" s="165"/>
    </row>
    <row r="27" spans="1:7" x14ac:dyDescent="0.2">
      <c r="A27" s="21"/>
      <c r="B27" s="165"/>
      <c r="C27" s="165"/>
      <c r="D27" s="165"/>
      <c r="E27" s="165"/>
      <c r="F27" s="165"/>
      <c r="G27" s="165"/>
    </row>
    <row r="28" spans="1:7" x14ac:dyDescent="0.2">
      <c r="A28" s="29" t="s">
        <v>294</v>
      </c>
      <c r="B28" s="25">
        <f>SUM(B30:B39)</f>
        <v>17500</v>
      </c>
      <c r="C28" s="25">
        <v>29998</v>
      </c>
      <c r="D28" s="25">
        <f t="shared" ref="D28" si="2">SUM(D30:D39)</f>
        <v>11808</v>
      </c>
      <c r="E28" s="25">
        <f>SUM(E30:E39)</f>
        <v>3500</v>
      </c>
      <c r="F28" s="25">
        <v>2338</v>
      </c>
      <c r="G28" s="25">
        <f t="shared" ref="G28" si="3">SUM(G30:G39)</f>
        <v>2317</v>
      </c>
    </row>
    <row r="29" spans="1:7" x14ac:dyDescent="0.2">
      <c r="A29" s="165" t="s">
        <v>1</v>
      </c>
      <c r="B29" s="165"/>
      <c r="C29" s="165"/>
      <c r="D29" s="165"/>
      <c r="E29" s="165"/>
      <c r="F29" s="165"/>
      <c r="G29" s="165"/>
    </row>
    <row r="30" spans="1:7" x14ac:dyDescent="0.2">
      <c r="A30" s="165" t="s">
        <v>162</v>
      </c>
      <c r="B30" s="165"/>
      <c r="C30" s="165"/>
      <c r="D30" s="165"/>
      <c r="E30" s="165"/>
      <c r="F30" s="165"/>
      <c r="G30" s="165"/>
    </row>
    <row r="31" spans="1:7" x14ac:dyDescent="0.2">
      <c r="A31" s="165" t="s">
        <v>161</v>
      </c>
      <c r="B31" s="568">
        <v>2500</v>
      </c>
      <c r="C31" s="568"/>
      <c r="D31" s="568">
        <v>2011</v>
      </c>
      <c r="E31" s="568"/>
      <c r="F31" s="568"/>
      <c r="G31" s="568">
        <v>10</v>
      </c>
    </row>
    <row r="32" spans="1:7" x14ac:dyDescent="0.2">
      <c r="A32" s="165" t="s">
        <v>160</v>
      </c>
      <c r="B32" s="165"/>
      <c r="C32" s="165"/>
      <c r="D32" s="165"/>
      <c r="E32" s="165"/>
      <c r="F32" s="165"/>
      <c r="G32" s="165"/>
    </row>
    <row r="33" spans="1:7" x14ac:dyDescent="0.2">
      <c r="A33" s="165" t="s">
        <v>159</v>
      </c>
      <c r="B33" s="165"/>
      <c r="C33" s="165"/>
      <c r="D33" s="165"/>
      <c r="E33" s="165"/>
      <c r="F33" s="165"/>
      <c r="G33" s="165"/>
    </row>
    <row r="34" spans="1:7" x14ac:dyDescent="0.2">
      <c r="A34" s="165" t="s">
        <v>158</v>
      </c>
      <c r="B34" s="165"/>
      <c r="C34" s="165"/>
      <c r="D34" s="165"/>
      <c r="E34" s="165"/>
      <c r="F34" s="165"/>
      <c r="G34" s="165"/>
    </row>
    <row r="35" spans="1:7" x14ac:dyDescent="0.2">
      <c r="A35" s="165" t="s">
        <v>157</v>
      </c>
      <c r="B35" s="165"/>
      <c r="C35" s="165"/>
      <c r="D35" s="165"/>
      <c r="E35" s="165"/>
      <c r="F35" s="165"/>
      <c r="G35" s="165"/>
    </row>
    <row r="36" spans="1:7" ht="22.5" x14ac:dyDescent="0.2">
      <c r="A36" s="21" t="s">
        <v>156</v>
      </c>
      <c r="B36" s="568"/>
      <c r="C36" s="568"/>
      <c r="D36" s="568"/>
      <c r="E36" s="568">
        <v>3500</v>
      </c>
      <c r="F36" s="568"/>
      <c r="G36" s="568">
        <v>2307</v>
      </c>
    </row>
    <row r="37" spans="1:7" x14ac:dyDescent="0.2">
      <c r="A37" s="21" t="s">
        <v>495</v>
      </c>
      <c r="B37" s="568">
        <v>15000</v>
      </c>
      <c r="C37" s="568"/>
      <c r="D37" s="568">
        <v>7212</v>
      </c>
      <c r="E37" s="568"/>
      <c r="F37" s="568"/>
      <c r="G37" s="568"/>
    </row>
    <row r="38" spans="1:7" x14ac:dyDescent="0.2">
      <c r="A38" s="21" t="s">
        <v>572</v>
      </c>
      <c r="B38" s="568"/>
      <c r="C38" s="568"/>
      <c r="D38" s="568">
        <v>386</v>
      </c>
      <c r="E38" s="568"/>
      <c r="F38" s="568"/>
      <c r="G38" s="568"/>
    </row>
    <row r="39" spans="1:7" x14ac:dyDescent="0.2">
      <c r="A39" s="21" t="s">
        <v>573</v>
      </c>
      <c r="B39" s="568"/>
      <c r="C39" s="568"/>
      <c r="D39" s="568">
        <v>2199</v>
      </c>
      <c r="E39" s="568"/>
      <c r="F39" s="568"/>
      <c r="G39" s="568"/>
    </row>
    <row r="40" spans="1:7" x14ac:dyDescent="0.2">
      <c r="A40" s="112" t="s">
        <v>17</v>
      </c>
      <c r="B40" s="51">
        <f t="shared" ref="B40:C40" si="4">SUM(B10,B17,B21,B22,B28)</f>
        <v>3840700</v>
      </c>
      <c r="C40" s="51">
        <f t="shared" si="4"/>
        <v>4108437</v>
      </c>
      <c r="D40" s="51">
        <f>SUM(D10,D17,D21,D22,D28)</f>
        <v>3438985</v>
      </c>
      <c r="E40" s="51">
        <f t="shared" ref="E40:G40" si="5">SUM(E10,E17,E21,E22,E28)</f>
        <v>3500</v>
      </c>
      <c r="F40" s="51">
        <f t="shared" si="5"/>
        <v>2338</v>
      </c>
      <c r="G40" s="51">
        <f t="shared" si="5"/>
        <v>2317</v>
      </c>
    </row>
    <row r="41" spans="1:7" x14ac:dyDescent="0.2">
      <c r="A41" s="572"/>
      <c r="B41" s="572"/>
    </row>
    <row r="42" spans="1:7" x14ac:dyDescent="0.2">
      <c r="A42" s="572"/>
      <c r="B42" s="572"/>
      <c r="D42" s="117"/>
    </row>
    <row r="43" spans="1:7" x14ac:dyDescent="0.2">
      <c r="A43" s="233"/>
      <c r="B43" s="233"/>
    </row>
    <row r="44" spans="1:7" x14ac:dyDescent="0.2">
      <c r="A44" s="189"/>
      <c r="B44" s="189"/>
      <c r="C44" s="189"/>
      <c r="D44" s="492" t="s">
        <v>567</v>
      </c>
      <c r="E44" s="189"/>
    </row>
    <row r="45" spans="1:7" x14ac:dyDescent="0.2">
      <c r="A45" s="677" t="s">
        <v>155</v>
      </c>
      <c r="B45" s="677"/>
      <c r="C45" s="677"/>
      <c r="D45" s="677"/>
      <c r="E45" s="221"/>
    </row>
    <row r="46" spans="1:7" x14ac:dyDescent="0.2">
      <c r="A46" s="492"/>
      <c r="B46" s="492"/>
      <c r="C46" s="492"/>
      <c r="D46" s="492" t="s">
        <v>0</v>
      </c>
    </row>
    <row r="47" spans="1:7" ht="12.75" customHeight="1" x14ac:dyDescent="0.2">
      <c r="A47" s="671" t="s">
        <v>152</v>
      </c>
      <c r="B47" s="679" t="s">
        <v>147</v>
      </c>
      <c r="C47" s="680"/>
      <c r="D47" s="681"/>
    </row>
    <row r="48" spans="1:7" x14ac:dyDescent="0.2">
      <c r="A48" s="672"/>
      <c r="B48" s="682"/>
      <c r="C48" s="683"/>
      <c r="D48" s="684"/>
    </row>
    <row r="49" spans="1:10" ht="33.75" x14ac:dyDescent="0.2">
      <c r="A49" s="490"/>
      <c r="B49" s="157" t="s">
        <v>557</v>
      </c>
      <c r="C49" s="157" t="s">
        <v>1304</v>
      </c>
      <c r="D49" s="157" t="s">
        <v>1311</v>
      </c>
    </row>
    <row r="50" spans="1:10" ht="23.25" customHeight="1" x14ac:dyDescent="0.2">
      <c r="A50" s="573" t="s">
        <v>1318</v>
      </c>
      <c r="B50" s="574">
        <v>9500</v>
      </c>
      <c r="C50" s="575">
        <v>9500</v>
      </c>
      <c r="D50" s="576">
        <v>500</v>
      </c>
    </row>
    <row r="51" spans="1:10" x14ac:dyDescent="0.2">
      <c r="A51" s="573" t="s">
        <v>1319</v>
      </c>
      <c r="B51" s="574">
        <v>9368</v>
      </c>
      <c r="C51" s="575">
        <v>7015</v>
      </c>
      <c r="D51" s="575">
        <v>1829</v>
      </c>
    </row>
    <row r="52" spans="1:10" ht="22.5" x14ac:dyDescent="0.2">
      <c r="A52" s="573" t="s">
        <v>1320</v>
      </c>
      <c r="B52" s="574">
        <v>198</v>
      </c>
      <c r="C52" s="574">
        <v>73</v>
      </c>
      <c r="D52" s="576">
        <v>73</v>
      </c>
    </row>
    <row r="53" spans="1:10" x14ac:dyDescent="0.2">
      <c r="A53" s="573" t="s">
        <v>1321</v>
      </c>
      <c r="B53" s="574">
        <v>8692</v>
      </c>
      <c r="C53" s="574"/>
      <c r="D53" s="576"/>
    </row>
    <row r="54" spans="1:10" x14ac:dyDescent="0.2">
      <c r="A54" s="573" t="s">
        <v>1322</v>
      </c>
      <c r="B54" s="574">
        <v>15906</v>
      </c>
      <c r="C54" s="574">
        <v>18307</v>
      </c>
      <c r="D54" s="575">
        <v>2401</v>
      </c>
    </row>
    <row r="55" spans="1:10" x14ac:dyDescent="0.2">
      <c r="A55" s="573" t="s">
        <v>1323</v>
      </c>
      <c r="B55" s="574">
        <v>19177</v>
      </c>
      <c r="C55" s="574"/>
      <c r="D55" s="576"/>
    </row>
    <row r="56" spans="1:10" x14ac:dyDescent="0.2">
      <c r="A56" s="573" t="s">
        <v>1324</v>
      </c>
      <c r="B56" s="574">
        <v>72000</v>
      </c>
      <c r="C56" s="574">
        <v>72000</v>
      </c>
      <c r="D56" s="575">
        <v>72000</v>
      </c>
    </row>
    <row r="57" spans="1:10" ht="12" customHeight="1" x14ac:dyDescent="0.2">
      <c r="A57" s="573" t="s">
        <v>1325</v>
      </c>
      <c r="B57" s="574">
        <v>15000</v>
      </c>
      <c r="C57" s="574">
        <v>15000</v>
      </c>
      <c r="D57" s="575">
        <v>15000</v>
      </c>
    </row>
    <row r="58" spans="1:10" x14ac:dyDescent="0.2">
      <c r="A58" s="573" t="s">
        <v>586</v>
      </c>
      <c r="B58" s="577"/>
      <c r="C58" s="577"/>
      <c r="D58" s="577"/>
    </row>
    <row r="59" spans="1:10" x14ac:dyDescent="0.2">
      <c r="A59" s="578" t="s">
        <v>42</v>
      </c>
      <c r="B59" s="47">
        <f>SUM(B50:B58)</f>
        <v>149841</v>
      </c>
      <c r="C59" s="47">
        <f t="shared" ref="C59:D59" si="6">SUM(C50:C58)</f>
        <v>121895</v>
      </c>
      <c r="D59" s="47">
        <f t="shared" si="6"/>
        <v>91803</v>
      </c>
      <c r="F59" s="579"/>
    </row>
    <row r="60" spans="1:10" x14ac:dyDescent="0.2">
      <c r="E60" s="117"/>
    </row>
    <row r="61" spans="1:10" x14ac:dyDescent="0.2">
      <c r="A61" s="189"/>
      <c r="B61" s="189"/>
      <c r="C61" s="189"/>
      <c r="D61" s="492"/>
      <c r="E61" s="189"/>
      <c r="J61" s="492" t="s">
        <v>1809</v>
      </c>
    </row>
    <row r="62" spans="1:10" x14ac:dyDescent="0.2">
      <c r="A62" s="677" t="s">
        <v>154</v>
      </c>
      <c r="B62" s="677"/>
      <c r="C62" s="677"/>
      <c r="D62" s="677"/>
      <c r="E62" s="677"/>
      <c r="F62" s="677"/>
      <c r="G62" s="677"/>
      <c r="H62" s="677"/>
      <c r="I62" s="677"/>
      <c r="J62" s="677"/>
    </row>
    <row r="63" spans="1:10" x14ac:dyDescent="0.2">
      <c r="A63" s="492"/>
      <c r="B63" s="492"/>
      <c r="C63" s="492"/>
      <c r="D63" s="492"/>
      <c r="J63" s="492" t="s">
        <v>0</v>
      </c>
    </row>
    <row r="64" spans="1:10" ht="12.75" customHeight="1" x14ac:dyDescent="0.2">
      <c r="A64" s="671" t="s">
        <v>152</v>
      </c>
      <c r="B64" s="679" t="s">
        <v>147</v>
      </c>
      <c r="C64" s="680"/>
      <c r="D64" s="681"/>
      <c r="E64" s="679" t="s">
        <v>299</v>
      </c>
      <c r="F64" s="680"/>
      <c r="G64" s="681"/>
      <c r="H64" s="679" t="s">
        <v>1810</v>
      </c>
      <c r="I64" s="680"/>
      <c r="J64" s="681"/>
    </row>
    <row r="65" spans="1:10" x14ac:dyDescent="0.2">
      <c r="A65" s="672"/>
      <c r="B65" s="685"/>
      <c r="C65" s="683"/>
      <c r="D65" s="684"/>
      <c r="E65" s="685"/>
      <c r="F65" s="683"/>
      <c r="G65" s="684"/>
      <c r="H65" s="685"/>
      <c r="I65" s="683"/>
      <c r="J65" s="684"/>
    </row>
    <row r="66" spans="1:10" ht="33.75" x14ac:dyDescent="0.2">
      <c r="A66" s="490"/>
      <c r="B66" s="157" t="s">
        <v>557</v>
      </c>
      <c r="C66" s="157" t="s">
        <v>1304</v>
      </c>
      <c r="D66" s="157" t="s">
        <v>1311</v>
      </c>
      <c r="E66" s="157" t="s">
        <v>557</v>
      </c>
      <c r="F66" s="157" t="s">
        <v>1304</v>
      </c>
      <c r="G66" s="157" t="s">
        <v>1311</v>
      </c>
      <c r="H66" s="157" t="s">
        <v>557</v>
      </c>
      <c r="I66" s="157" t="s">
        <v>1304</v>
      </c>
      <c r="J66" s="157" t="s">
        <v>1311</v>
      </c>
    </row>
    <row r="67" spans="1:10" ht="22.5" x14ac:dyDescent="0.2">
      <c r="A67" s="573" t="s">
        <v>1329</v>
      </c>
      <c r="B67" s="580">
        <v>100</v>
      </c>
      <c r="C67" s="580"/>
      <c r="D67" s="580"/>
      <c r="E67" s="580"/>
      <c r="F67" s="580"/>
      <c r="G67" s="580"/>
      <c r="H67" s="580"/>
      <c r="I67" s="580"/>
      <c r="J67" s="580"/>
    </row>
    <row r="68" spans="1:10" ht="22.5" x14ac:dyDescent="0.2">
      <c r="A68" s="573" t="s">
        <v>1326</v>
      </c>
      <c r="B68" s="580">
        <v>4225</v>
      </c>
      <c r="C68" s="580"/>
      <c r="D68" s="580"/>
      <c r="E68" s="580"/>
      <c r="F68" s="580"/>
      <c r="G68" s="580"/>
      <c r="H68" s="580"/>
      <c r="I68" s="580"/>
      <c r="J68" s="580"/>
    </row>
    <row r="69" spans="1:10" ht="22.5" x14ac:dyDescent="0.2">
      <c r="A69" s="573" t="s">
        <v>1328</v>
      </c>
      <c r="B69" s="580">
        <v>500</v>
      </c>
      <c r="C69" s="580">
        <v>1484</v>
      </c>
      <c r="D69" s="580">
        <v>1484</v>
      </c>
      <c r="E69" s="580"/>
      <c r="F69" s="580"/>
      <c r="G69" s="580"/>
      <c r="H69" s="580"/>
      <c r="I69" s="580"/>
      <c r="J69" s="580"/>
    </row>
    <row r="70" spans="1:10" ht="22.5" x14ac:dyDescent="0.2">
      <c r="A70" s="573" t="s">
        <v>1327</v>
      </c>
      <c r="B70" s="580">
        <v>30098</v>
      </c>
      <c r="C70" s="580"/>
      <c r="D70" s="580"/>
      <c r="E70" s="580"/>
      <c r="F70" s="580"/>
      <c r="G70" s="580"/>
      <c r="H70" s="580"/>
      <c r="I70" s="580"/>
      <c r="J70" s="580"/>
    </row>
    <row r="71" spans="1:10" x14ac:dyDescent="0.2">
      <c r="A71" s="573" t="s">
        <v>1811</v>
      </c>
      <c r="B71" s="580"/>
      <c r="C71" s="580"/>
      <c r="D71" s="580"/>
      <c r="E71" s="580"/>
      <c r="F71" s="580">
        <v>3358</v>
      </c>
      <c r="G71" s="580"/>
      <c r="H71" s="580"/>
      <c r="I71" s="580"/>
      <c r="J71" s="580"/>
    </row>
    <row r="72" spans="1:10" x14ac:dyDescent="0.2">
      <c r="A72" s="573" t="s">
        <v>1812</v>
      </c>
      <c r="B72" s="580"/>
      <c r="C72" s="580"/>
      <c r="D72" s="580"/>
      <c r="E72" s="580"/>
      <c r="F72" s="580"/>
      <c r="G72" s="580"/>
      <c r="H72" s="580"/>
      <c r="I72" s="580">
        <v>2260</v>
      </c>
      <c r="J72" s="580">
        <v>2760</v>
      </c>
    </row>
    <row r="73" spans="1:10" x14ac:dyDescent="0.2">
      <c r="A73" s="578" t="s">
        <v>42</v>
      </c>
      <c r="B73" s="581">
        <f t="shared" ref="B73:J73" si="7">SUM(B67:B72)</f>
        <v>34923</v>
      </c>
      <c r="C73" s="581">
        <f t="shared" si="7"/>
        <v>1484</v>
      </c>
      <c r="D73" s="581">
        <f t="shared" si="7"/>
        <v>1484</v>
      </c>
      <c r="E73" s="581">
        <f t="shared" si="7"/>
        <v>0</v>
      </c>
      <c r="F73" s="581">
        <f t="shared" si="7"/>
        <v>3358</v>
      </c>
      <c r="G73" s="581">
        <f t="shared" si="7"/>
        <v>0</v>
      </c>
      <c r="H73" s="581">
        <f t="shared" si="7"/>
        <v>0</v>
      </c>
      <c r="I73" s="581">
        <f t="shared" si="7"/>
        <v>2260</v>
      </c>
      <c r="J73" s="581">
        <f t="shared" si="7"/>
        <v>2760</v>
      </c>
    </row>
  </sheetData>
  <mergeCells count="12">
    <mergeCell ref="H64:J65"/>
    <mergeCell ref="A62:J62"/>
    <mergeCell ref="A64:A65"/>
    <mergeCell ref="B64:D65"/>
    <mergeCell ref="E4:G4"/>
    <mergeCell ref="A45:D45"/>
    <mergeCell ref="E64:G65"/>
    <mergeCell ref="A3:B3"/>
    <mergeCell ref="A47:A48"/>
    <mergeCell ref="B4:D4"/>
    <mergeCell ref="B47:D48"/>
    <mergeCell ref="A2:G2"/>
  </mergeCells>
  <printOptions horizontalCentered="1"/>
  <pageMargins left="0" right="0" top="0.35433070866141736" bottom="0" header="0.27559055118110237" footer="0"/>
  <pageSetup paperSize="9" scale="75" orientation="portrait" r:id="rId1"/>
  <headerFooter alignWithMargins="0">
    <oddHeader>&amp;LVeresegyház Város Önkormányzat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K1" sqref="K1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1" width="10.7109375" style="105" customWidth="1"/>
    <col min="12" max="12" width="15.140625" style="105" customWidth="1"/>
    <col min="13" max="258" width="9.140625" style="105"/>
    <col min="259" max="259" width="20" style="105" customWidth="1"/>
    <col min="260" max="262" width="10.7109375" style="105" customWidth="1"/>
    <col min="263" max="263" width="6.5703125" style="105" customWidth="1"/>
    <col min="264" max="264" width="32.5703125" style="105" customWidth="1"/>
    <col min="265" max="267" width="10.7109375" style="105" customWidth="1"/>
    <col min="268" max="268" width="15.140625" style="105" customWidth="1"/>
    <col min="269" max="514" width="9.140625" style="105"/>
    <col min="515" max="515" width="20" style="105" customWidth="1"/>
    <col min="516" max="518" width="10.7109375" style="105" customWidth="1"/>
    <col min="519" max="519" width="6.5703125" style="105" customWidth="1"/>
    <col min="520" max="520" width="32.5703125" style="105" customWidth="1"/>
    <col min="521" max="523" width="10.7109375" style="105" customWidth="1"/>
    <col min="524" max="524" width="15.140625" style="105" customWidth="1"/>
    <col min="525" max="770" width="9.140625" style="105"/>
    <col min="771" max="771" width="20" style="105" customWidth="1"/>
    <col min="772" max="774" width="10.7109375" style="105" customWidth="1"/>
    <col min="775" max="775" width="6.5703125" style="105" customWidth="1"/>
    <col min="776" max="776" width="32.5703125" style="105" customWidth="1"/>
    <col min="777" max="779" width="10.7109375" style="105" customWidth="1"/>
    <col min="780" max="780" width="15.140625" style="105" customWidth="1"/>
    <col min="781" max="1026" width="9.140625" style="105"/>
    <col min="1027" max="1027" width="20" style="105" customWidth="1"/>
    <col min="1028" max="1030" width="10.7109375" style="105" customWidth="1"/>
    <col min="1031" max="1031" width="6.5703125" style="105" customWidth="1"/>
    <col min="1032" max="1032" width="32.5703125" style="105" customWidth="1"/>
    <col min="1033" max="1035" width="10.7109375" style="105" customWidth="1"/>
    <col min="1036" max="1036" width="15.140625" style="105" customWidth="1"/>
    <col min="1037" max="1282" width="9.140625" style="105"/>
    <col min="1283" max="1283" width="20" style="105" customWidth="1"/>
    <col min="1284" max="1286" width="10.7109375" style="105" customWidth="1"/>
    <col min="1287" max="1287" width="6.5703125" style="105" customWidth="1"/>
    <col min="1288" max="1288" width="32.5703125" style="105" customWidth="1"/>
    <col min="1289" max="1291" width="10.7109375" style="105" customWidth="1"/>
    <col min="1292" max="1292" width="15.140625" style="105" customWidth="1"/>
    <col min="1293" max="1538" width="9.140625" style="105"/>
    <col min="1539" max="1539" width="20" style="105" customWidth="1"/>
    <col min="1540" max="1542" width="10.7109375" style="105" customWidth="1"/>
    <col min="1543" max="1543" width="6.5703125" style="105" customWidth="1"/>
    <col min="1544" max="1544" width="32.5703125" style="105" customWidth="1"/>
    <col min="1545" max="1547" width="10.7109375" style="105" customWidth="1"/>
    <col min="1548" max="1548" width="15.140625" style="105" customWidth="1"/>
    <col min="1549" max="1794" width="9.140625" style="105"/>
    <col min="1795" max="1795" width="20" style="105" customWidth="1"/>
    <col min="1796" max="1798" width="10.7109375" style="105" customWidth="1"/>
    <col min="1799" max="1799" width="6.5703125" style="105" customWidth="1"/>
    <col min="1800" max="1800" width="32.5703125" style="105" customWidth="1"/>
    <col min="1801" max="1803" width="10.7109375" style="105" customWidth="1"/>
    <col min="1804" max="1804" width="15.140625" style="105" customWidth="1"/>
    <col min="1805" max="2050" width="9.140625" style="105"/>
    <col min="2051" max="2051" width="20" style="105" customWidth="1"/>
    <col min="2052" max="2054" width="10.7109375" style="105" customWidth="1"/>
    <col min="2055" max="2055" width="6.5703125" style="105" customWidth="1"/>
    <col min="2056" max="2056" width="32.5703125" style="105" customWidth="1"/>
    <col min="2057" max="2059" width="10.7109375" style="105" customWidth="1"/>
    <col min="2060" max="2060" width="15.140625" style="105" customWidth="1"/>
    <col min="2061" max="2306" width="9.140625" style="105"/>
    <col min="2307" max="2307" width="20" style="105" customWidth="1"/>
    <col min="2308" max="2310" width="10.7109375" style="105" customWidth="1"/>
    <col min="2311" max="2311" width="6.5703125" style="105" customWidth="1"/>
    <col min="2312" max="2312" width="32.5703125" style="105" customWidth="1"/>
    <col min="2313" max="2315" width="10.7109375" style="105" customWidth="1"/>
    <col min="2316" max="2316" width="15.140625" style="105" customWidth="1"/>
    <col min="2317" max="2562" width="9.140625" style="105"/>
    <col min="2563" max="2563" width="20" style="105" customWidth="1"/>
    <col min="2564" max="2566" width="10.7109375" style="105" customWidth="1"/>
    <col min="2567" max="2567" width="6.5703125" style="105" customWidth="1"/>
    <col min="2568" max="2568" width="32.5703125" style="105" customWidth="1"/>
    <col min="2569" max="2571" width="10.7109375" style="105" customWidth="1"/>
    <col min="2572" max="2572" width="15.140625" style="105" customWidth="1"/>
    <col min="2573" max="2818" width="9.140625" style="105"/>
    <col min="2819" max="2819" width="20" style="105" customWidth="1"/>
    <col min="2820" max="2822" width="10.7109375" style="105" customWidth="1"/>
    <col min="2823" max="2823" width="6.5703125" style="105" customWidth="1"/>
    <col min="2824" max="2824" width="32.5703125" style="105" customWidth="1"/>
    <col min="2825" max="2827" width="10.7109375" style="105" customWidth="1"/>
    <col min="2828" max="2828" width="15.140625" style="105" customWidth="1"/>
    <col min="2829" max="3074" width="9.140625" style="105"/>
    <col min="3075" max="3075" width="20" style="105" customWidth="1"/>
    <col min="3076" max="3078" width="10.7109375" style="105" customWidth="1"/>
    <col min="3079" max="3079" width="6.5703125" style="105" customWidth="1"/>
    <col min="3080" max="3080" width="32.5703125" style="105" customWidth="1"/>
    <col min="3081" max="3083" width="10.7109375" style="105" customWidth="1"/>
    <col min="3084" max="3084" width="15.140625" style="105" customWidth="1"/>
    <col min="3085" max="3330" width="9.140625" style="105"/>
    <col min="3331" max="3331" width="20" style="105" customWidth="1"/>
    <col min="3332" max="3334" width="10.7109375" style="105" customWidth="1"/>
    <col min="3335" max="3335" width="6.5703125" style="105" customWidth="1"/>
    <col min="3336" max="3336" width="32.5703125" style="105" customWidth="1"/>
    <col min="3337" max="3339" width="10.7109375" style="105" customWidth="1"/>
    <col min="3340" max="3340" width="15.140625" style="105" customWidth="1"/>
    <col min="3341" max="3586" width="9.140625" style="105"/>
    <col min="3587" max="3587" width="20" style="105" customWidth="1"/>
    <col min="3588" max="3590" width="10.7109375" style="105" customWidth="1"/>
    <col min="3591" max="3591" width="6.5703125" style="105" customWidth="1"/>
    <col min="3592" max="3592" width="32.5703125" style="105" customWidth="1"/>
    <col min="3593" max="3595" width="10.7109375" style="105" customWidth="1"/>
    <col min="3596" max="3596" width="15.140625" style="105" customWidth="1"/>
    <col min="3597" max="3842" width="9.140625" style="105"/>
    <col min="3843" max="3843" width="20" style="105" customWidth="1"/>
    <col min="3844" max="3846" width="10.7109375" style="105" customWidth="1"/>
    <col min="3847" max="3847" width="6.5703125" style="105" customWidth="1"/>
    <col min="3848" max="3848" width="32.5703125" style="105" customWidth="1"/>
    <col min="3849" max="3851" width="10.7109375" style="105" customWidth="1"/>
    <col min="3852" max="3852" width="15.140625" style="105" customWidth="1"/>
    <col min="3853" max="4098" width="9.140625" style="105"/>
    <col min="4099" max="4099" width="20" style="105" customWidth="1"/>
    <col min="4100" max="4102" width="10.7109375" style="105" customWidth="1"/>
    <col min="4103" max="4103" width="6.5703125" style="105" customWidth="1"/>
    <col min="4104" max="4104" width="32.5703125" style="105" customWidth="1"/>
    <col min="4105" max="4107" width="10.7109375" style="105" customWidth="1"/>
    <col min="4108" max="4108" width="15.140625" style="105" customWidth="1"/>
    <col min="4109" max="4354" width="9.140625" style="105"/>
    <col min="4355" max="4355" width="20" style="105" customWidth="1"/>
    <col min="4356" max="4358" width="10.7109375" style="105" customWidth="1"/>
    <col min="4359" max="4359" width="6.5703125" style="105" customWidth="1"/>
    <col min="4360" max="4360" width="32.5703125" style="105" customWidth="1"/>
    <col min="4361" max="4363" width="10.7109375" style="105" customWidth="1"/>
    <col min="4364" max="4364" width="15.140625" style="105" customWidth="1"/>
    <col min="4365" max="4610" width="9.140625" style="105"/>
    <col min="4611" max="4611" width="20" style="105" customWidth="1"/>
    <col min="4612" max="4614" width="10.7109375" style="105" customWidth="1"/>
    <col min="4615" max="4615" width="6.5703125" style="105" customWidth="1"/>
    <col min="4616" max="4616" width="32.5703125" style="105" customWidth="1"/>
    <col min="4617" max="4619" width="10.7109375" style="105" customWidth="1"/>
    <col min="4620" max="4620" width="15.140625" style="105" customWidth="1"/>
    <col min="4621" max="4866" width="9.140625" style="105"/>
    <col min="4867" max="4867" width="20" style="105" customWidth="1"/>
    <col min="4868" max="4870" width="10.7109375" style="105" customWidth="1"/>
    <col min="4871" max="4871" width="6.5703125" style="105" customWidth="1"/>
    <col min="4872" max="4872" width="32.5703125" style="105" customWidth="1"/>
    <col min="4873" max="4875" width="10.7109375" style="105" customWidth="1"/>
    <col min="4876" max="4876" width="15.140625" style="105" customWidth="1"/>
    <col min="4877" max="5122" width="9.140625" style="105"/>
    <col min="5123" max="5123" width="20" style="105" customWidth="1"/>
    <col min="5124" max="5126" width="10.7109375" style="105" customWidth="1"/>
    <col min="5127" max="5127" width="6.5703125" style="105" customWidth="1"/>
    <col min="5128" max="5128" width="32.5703125" style="105" customWidth="1"/>
    <col min="5129" max="5131" width="10.7109375" style="105" customWidth="1"/>
    <col min="5132" max="5132" width="15.140625" style="105" customWidth="1"/>
    <col min="5133" max="5378" width="9.140625" style="105"/>
    <col min="5379" max="5379" width="20" style="105" customWidth="1"/>
    <col min="5380" max="5382" width="10.7109375" style="105" customWidth="1"/>
    <col min="5383" max="5383" width="6.5703125" style="105" customWidth="1"/>
    <col min="5384" max="5384" width="32.5703125" style="105" customWidth="1"/>
    <col min="5385" max="5387" width="10.7109375" style="105" customWidth="1"/>
    <col min="5388" max="5388" width="15.140625" style="105" customWidth="1"/>
    <col min="5389" max="5634" width="9.140625" style="105"/>
    <col min="5635" max="5635" width="20" style="105" customWidth="1"/>
    <col min="5636" max="5638" width="10.7109375" style="105" customWidth="1"/>
    <col min="5639" max="5639" width="6.5703125" style="105" customWidth="1"/>
    <col min="5640" max="5640" width="32.5703125" style="105" customWidth="1"/>
    <col min="5641" max="5643" width="10.7109375" style="105" customWidth="1"/>
    <col min="5644" max="5644" width="15.140625" style="105" customWidth="1"/>
    <col min="5645" max="5890" width="9.140625" style="105"/>
    <col min="5891" max="5891" width="20" style="105" customWidth="1"/>
    <col min="5892" max="5894" width="10.7109375" style="105" customWidth="1"/>
    <col min="5895" max="5895" width="6.5703125" style="105" customWidth="1"/>
    <col min="5896" max="5896" width="32.5703125" style="105" customWidth="1"/>
    <col min="5897" max="5899" width="10.7109375" style="105" customWidth="1"/>
    <col min="5900" max="5900" width="15.140625" style="105" customWidth="1"/>
    <col min="5901" max="6146" width="9.140625" style="105"/>
    <col min="6147" max="6147" width="20" style="105" customWidth="1"/>
    <col min="6148" max="6150" width="10.7109375" style="105" customWidth="1"/>
    <col min="6151" max="6151" width="6.5703125" style="105" customWidth="1"/>
    <col min="6152" max="6152" width="32.5703125" style="105" customWidth="1"/>
    <col min="6153" max="6155" width="10.7109375" style="105" customWidth="1"/>
    <col min="6156" max="6156" width="15.140625" style="105" customWidth="1"/>
    <col min="6157" max="6402" width="9.140625" style="105"/>
    <col min="6403" max="6403" width="20" style="105" customWidth="1"/>
    <col min="6404" max="6406" width="10.7109375" style="105" customWidth="1"/>
    <col min="6407" max="6407" width="6.5703125" style="105" customWidth="1"/>
    <col min="6408" max="6408" width="32.5703125" style="105" customWidth="1"/>
    <col min="6409" max="6411" width="10.7109375" style="105" customWidth="1"/>
    <col min="6412" max="6412" width="15.140625" style="105" customWidth="1"/>
    <col min="6413" max="6658" width="9.140625" style="105"/>
    <col min="6659" max="6659" width="20" style="105" customWidth="1"/>
    <col min="6660" max="6662" width="10.7109375" style="105" customWidth="1"/>
    <col min="6663" max="6663" width="6.5703125" style="105" customWidth="1"/>
    <col min="6664" max="6664" width="32.5703125" style="105" customWidth="1"/>
    <col min="6665" max="6667" width="10.7109375" style="105" customWidth="1"/>
    <col min="6668" max="6668" width="15.140625" style="105" customWidth="1"/>
    <col min="6669" max="6914" width="9.140625" style="105"/>
    <col min="6915" max="6915" width="20" style="105" customWidth="1"/>
    <col min="6916" max="6918" width="10.7109375" style="105" customWidth="1"/>
    <col min="6919" max="6919" width="6.5703125" style="105" customWidth="1"/>
    <col min="6920" max="6920" width="32.5703125" style="105" customWidth="1"/>
    <col min="6921" max="6923" width="10.7109375" style="105" customWidth="1"/>
    <col min="6924" max="6924" width="15.140625" style="105" customWidth="1"/>
    <col min="6925" max="7170" width="9.140625" style="105"/>
    <col min="7171" max="7171" width="20" style="105" customWidth="1"/>
    <col min="7172" max="7174" width="10.7109375" style="105" customWidth="1"/>
    <col min="7175" max="7175" width="6.5703125" style="105" customWidth="1"/>
    <col min="7176" max="7176" width="32.5703125" style="105" customWidth="1"/>
    <col min="7177" max="7179" width="10.7109375" style="105" customWidth="1"/>
    <col min="7180" max="7180" width="15.140625" style="105" customWidth="1"/>
    <col min="7181" max="7426" width="9.140625" style="105"/>
    <col min="7427" max="7427" width="20" style="105" customWidth="1"/>
    <col min="7428" max="7430" width="10.7109375" style="105" customWidth="1"/>
    <col min="7431" max="7431" width="6.5703125" style="105" customWidth="1"/>
    <col min="7432" max="7432" width="32.5703125" style="105" customWidth="1"/>
    <col min="7433" max="7435" width="10.7109375" style="105" customWidth="1"/>
    <col min="7436" max="7436" width="15.140625" style="105" customWidth="1"/>
    <col min="7437" max="7682" width="9.140625" style="105"/>
    <col min="7683" max="7683" width="20" style="105" customWidth="1"/>
    <col min="7684" max="7686" width="10.7109375" style="105" customWidth="1"/>
    <col min="7687" max="7687" width="6.5703125" style="105" customWidth="1"/>
    <col min="7688" max="7688" width="32.5703125" style="105" customWidth="1"/>
    <col min="7689" max="7691" width="10.7109375" style="105" customWidth="1"/>
    <col min="7692" max="7692" width="15.140625" style="105" customWidth="1"/>
    <col min="7693" max="7938" width="9.140625" style="105"/>
    <col min="7939" max="7939" width="20" style="105" customWidth="1"/>
    <col min="7940" max="7942" width="10.7109375" style="105" customWidth="1"/>
    <col min="7943" max="7943" width="6.5703125" style="105" customWidth="1"/>
    <col min="7944" max="7944" width="32.5703125" style="105" customWidth="1"/>
    <col min="7945" max="7947" width="10.7109375" style="105" customWidth="1"/>
    <col min="7948" max="7948" width="15.140625" style="105" customWidth="1"/>
    <col min="7949" max="8194" width="9.140625" style="105"/>
    <col min="8195" max="8195" width="20" style="105" customWidth="1"/>
    <col min="8196" max="8198" width="10.7109375" style="105" customWidth="1"/>
    <col min="8199" max="8199" width="6.5703125" style="105" customWidth="1"/>
    <col min="8200" max="8200" width="32.5703125" style="105" customWidth="1"/>
    <col min="8201" max="8203" width="10.7109375" style="105" customWidth="1"/>
    <col min="8204" max="8204" width="15.140625" style="105" customWidth="1"/>
    <col min="8205" max="8450" width="9.140625" style="105"/>
    <col min="8451" max="8451" width="20" style="105" customWidth="1"/>
    <col min="8452" max="8454" width="10.7109375" style="105" customWidth="1"/>
    <col min="8455" max="8455" width="6.5703125" style="105" customWidth="1"/>
    <col min="8456" max="8456" width="32.5703125" style="105" customWidth="1"/>
    <col min="8457" max="8459" width="10.7109375" style="105" customWidth="1"/>
    <col min="8460" max="8460" width="15.140625" style="105" customWidth="1"/>
    <col min="8461" max="8706" width="9.140625" style="105"/>
    <col min="8707" max="8707" width="20" style="105" customWidth="1"/>
    <col min="8708" max="8710" width="10.7109375" style="105" customWidth="1"/>
    <col min="8711" max="8711" width="6.5703125" style="105" customWidth="1"/>
    <col min="8712" max="8712" width="32.5703125" style="105" customWidth="1"/>
    <col min="8713" max="8715" width="10.7109375" style="105" customWidth="1"/>
    <col min="8716" max="8716" width="15.140625" style="105" customWidth="1"/>
    <col min="8717" max="8962" width="9.140625" style="105"/>
    <col min="8963" max="8963" width="20" style="105" customWidth="1"/>
    <col min="8964" max="8966" width="10.7109375" style="105" customWidth="1"/>
    <col min="8967" max="8967" width="6.5703125" style="105" customWidth="1"/>
    <col min="8968" max="8968" width="32.5703125" style="105" customWidth="1"/>
    <col min="8969" max="8971" width="10.7109375" style="105" customWidth="1"/>
    <col min="8972" max="8972" width="15.140625" style="105" customWidth="1"/>
    <col min="8973" max="9218" width="9.140625" style="105"/>
    <col min="9219" max="9219" width="20" style="105" customWidth="1"/>
    <col min="9220" max="9222" width="10.7109375" style="105" customWidth="1"/>
    <col min="9223" max="9223" width="6.5703125" style="105" customWidth="1"/>
    <col min="9224" max="9224" width="32.5703125" style="105" customWidth="1"/>
    <col min="9225" max="9227" width="10.7109375" style="105" customWidth="1"/>
    <col min="9228" max="9228" width="15.140625" style="105" customWidth="1"/>
    <col min="9229" max="9474" width="9.140625" style="105"/>
    <col min="9475" max="9475" width="20" style="105" customWidth="1"/>
    <col min="9476" max="9478" width="10.7109375" style="105" customWidth="1"/>
    <col min="9479" max="9479" width="6.5703125" style="105" customWidth="1"/>
    <col min="9480" max="9480" width="32.5703125" style="105" customWidth="1"/>
    <col min="9481" max="9483" width="10.7109375" style="105" customWidth="1"/>
    <col min="9484" max="9484" width="15.140625" style="105" customWidth="1"/>
    <col min="9485" max="9730" width="9.140625" style="105"/>
    <col min="9731" max="9731" width="20" style="105" customWidth="1"/>
    <col min="9732" max="9734" width="10.7109375" style="105" customWidth="1"/>
    <col min="9735" max="9735" width="6.5703125" style="105" customWidth="1"/>
    <col min="9736" max="9736" width="32.5703125" style="105" customWidth="1"/>
    <col min="9737" max="9739" width="10.7109375" style="105" customWidth="1"/>
    <col min="9740" max="9740" width="15.140625" style="105" customWidth="1"/>
    <col min="9741" max="9986" width="9.140625" style="105"/>
    <col min="9987" max="9987" width="20" style="105" customWidth="1"/>
    <col min="9988" max="9990" width="10.7109375" style="105" customWidth="1"/>
    <col min="9991" max="9991" width="6.5703125" style="105" customWidth="1"/>
    <col min="9992" max="9992" width="32.5703125" style="105" customWidth="1"/>
    <col min="9993" max="9995" width="10.7109375" style="105" customWidth="1"/>
    <col min="9996" max="9996" width="15.140625" style="105" customWidth="1"/>
    <col min="9997" max="10242" width="9.140625" style="105"/>
    <col min="10243" max="10243" width="20" style="105" customWidth="1"/>
    <col min="10244" max="10246" width="10.7109375" style="105" customWidth="1"/>
    <col min="10247" max="10247" width="6.5703125" style="105" customWidth="1"/>
    <col min="10248" max="10248" width="32.5703125" style="105" customWidth="1"/>
    <col min="10249" max="10251" width="10.7109375" style="105" customWidth="1"/>
    <col min="10252" max="10252" width="15.140625" style="105" customWidth="1"/>
    <col min="10253" max="10498" width="9.140625" style="105"/>
    <col min="10499" max="10499" width="20" style="105" customWidth="1"/>
    <col min="10500" max="10502" width="10.7109375" style="105" customWidth="1"/>
    <col min="10503" max="10503" width="6.5703125" style="105" customWidth="1"/>
    <col min="10504" max="10504" width="32.5703125" style="105" customWidth="1"/>
    <col min="10505" max="10507" width="10.7109375" style="105" customWidth="1"/>
    <col min="10508" max="10508" width="15.140625" style="105" customWidth="1"/>
    <col min="10509" max="10754" width="9.140625" style="105"/>
    <col min="10755" max="10755" width="20" style="105" customWidth="1"/>
    <col min="10756" max="10758" width="10.7109375" style="105" customWidth="1"/>
    <col min="10759" max="10759" width="6.5703125" style="105" customWidth="1"/>
    <col min="10760" max="10760" width="32.5703125" style="105" customWidth="1"/>
    <col min="10761" max="10763" width="10.7109375" style="105" customWidth="1"/>
    <col min="10764" max="10764" width="15.140625" style="105" customWidth="1"/>
    <col min="10765" max="11010" width="9.140625" style="105"/>
    <col min="11011" max="11011" width="20" style="105" customWidth="1"/>
    <col min="11012" max="11014" width="10.7109375" style="105" customWidth="1"/>
    <col min="11015" max="11015" width="6.5703125" style="105" customWidth="1"/>
    <col min="11016" max="11016" width="32.5703125" style="105" customWidth="1"/>
    <col min="11017" max="11019" width="10.7109375" style="105" customWidth="1"/>
    <col min="11020" max="11020" width="15.140625" style="105" customWidth="1"/>
    <col min="11021" max="11266" width="9.140625" style="105"/>
    <col min="11267" max="11267" width="20" style="105" customWidth="1"/>
    <col min="11268" max="11270" width="10.7109375" style="105" customWidth="1"/>
    <col min="11271" max="11271" width="6.5703125" style="105" customWidth="1"/>
    <col min="11272" max="11272" width="32.5703125" style="105" customWidth="1"/>
    <col min="11273" max="11275" width="10.7109375" style="105" customWidth="1"/>
    <col min="11276" max="11276" width="15.140625" style="105" customWidth="1"/>
    <col min="11277" max="11522" width="9.140625" style="105"/>
    <col min="11523" max="11523" width="20" style="105" customWidth="1"/>
    <col min="11524" max="11526" width="10.7109375" style="105" customWidth="1"/>
    <col min="11527" max="11527" width="6.5703125" style="105" customWidth="1"/>
    <col min="11528" max="11528" width="32.5703125" style="105" customWidth="1"/>
    <col min="11529" max="11531" width="10.7109375" style="105" customWidth="1"/>
    <col min="11532" max="11532" width="15.140625" style="105" customWidth="1"/>
    <col min="11533" max="11778" width="9.140625" style="105"/>
    <col min="11779" max="11779" width="20" style="105" customWidth="1"/>
    <col min="11780" max="11782" width="10.7109375" style="105" customWidth="1"/>
    <col min="11783" max="11783" width="6.5703125" style="105" customWidth="1"/>
    <col min="11784" max="11784" width="32.5703125" style="105" customWidth="1"/>
    <col min="11785" max="11787" width="10.7109375" style="105" customWidth="1"/>
    <col min="11788" max="11788" width="15.140625" style="105" customWidth="1"/>
    <col min="11789" max="12034" width="9.140625" style="105"/>
    <col min="12035" max="12035" width="20" style="105" customWidth="1"/>
    <col min="12036" max="12038" width="10.7109375" style="105" customWidth="1"/>
    <col min="12039" max="12039" width="6.5703125" style="105" customWidth="1"/>
    <col min="12040" max="12040" width="32.5703125" style="105" customWidth="1"/>
    <col min="12041" max="12043" width="10.7109375" style="105" customWidth="1"/>
    <col min="12044" max="12044" width="15.140625" style="105" customWidth="1"/>
    <col min="12045" max="12290" width="9.140625" style="105"/>
    <col min="12291" max="12291" width="20" style="105" customWidth="1"/>
    <col min="12292" max="12294" width="10.7109375" style="105" customWidth="1"/>
    <col min="12295" max="12295" width="6.5703125" style="105" customWidth="1"/>
    <col min="12296" max="12296" width="32.5703125" style="105" customWidth="1"/>
    <col min="12297" max="12299" width="10.7109375" style="105" customWidth="1"/>
    <col min="12300" max="12300" width="15.140625" style="105" customWidth="1"/>
    <col min="12301" max="12546" width="9.140625" style="105"/>
    <col min="12547" max="12547" width="20" style="105" customWidth="1"/>
    <col min="12548" max="12550" width="10.7109375" style="105" customWidth="1"/>
    <col min="12551" max="12551" width="6.5703125" style="105" customWidth="1"/>
    <col min="12552" max="12552" width="32.5703125" style="105" customWidth="1"/>
    <col min="12553" max="12555" width="10.7109375" style="105" customWidth="1"/>
    <col min="12556" max="12556" width="15.140625" style="105" customWidth="1"/>
    <col min="12557" max="12802" width="9.140625" style="105"/>
    <col min="12803" max="12803" width="20" style="105" customWidth="1"/>
    <col min="12804" max="12806" width="10.7109375" style="105" customWidth="1"/>
    <col min="12807" max="12807" width="6.5703125" style="105" customWidth="1"/>
    <col min="12808" max="12808" width="32.5703125" style="105" customWidth="1"/>
    <col min="12809" max="12811" width="10.7109375" style="105" customWidth="1"/>
    <col min="12812" max="12812" width="15.140625" style="105" customWidth="1"/>
    <col min="12813" max="13058" width="9.140625" style="105"/>
    <col min="13059" max="13059" width="20" style="105" customWidth="1"/>
    <col min="13060" max="13062" width="10.7109375" style="105" customWidth="1"/>
    <col min="13063" max="13063" width="6.5703125" style="105" customWidth="1"/>
    <col min="13064" max="13064" width="32.5703125" style="105" customWidth="1"/>
    <col min="13065" max="13067" width="10.7109375" style="105" customWidth="1"/>
    <col min="13068" max="13068" width="15.140625" style="105" customWidth="1"/>
    <col min="13069" max="13314" width="9.140625" style="105"/>
    <col min="13315" max="13315" width="20" style="105" customWidth="1"/>
    <col min="13316" max="13318" width="10.7109375" style="105" customWidth="1"/>
    <col min="13319" max="13319" width="6.5703125" style="105" customWidth="1"/>
    <col min="13320" max="13320" width="32.5703125" style="105" customWidth="1"/>
    <col min="13321" max="13323" width="10.7109375" style="105" customWidth="1"/>
    <col min="13324" max="13324" width="15.140625" style="105" customWidth="1"/>
    <col min="13325" max="13570" width="9.140625" style="105"/>
    <col min="13571" max="13571" width="20" style="105" customWidth="1"/>
    <col min="13572" max="13574" width="10.7109375" style="105" customWidth="1"/>
    <col min="13575" max="13575" width="6.5703125" style="105" customWidth="1"/>
    <col min="13576" max="13576" width="32.5703125" style="105" customWidth="1"/>
    <col min="13577" max="13579" width="10.7109375" style="105" customWidth="1"/>
    <col min="13580" max="13580" width="15.140625" style="105" customWidth="1"/>
    <col min="13581" max="13826" width="9.140625" style="105"/>
    <col min="13827" max="13827" width="20" style="105" customWidth="1"/>
    <col min="13828" max="13830" width="10.7109375" style="105" customWidth="1"/>
    <col min="13831" max="13831" width="6.5703125" style="105" customWidth="1"/>
    <col min="13832" max="13832" width="32.5703125" style="105" customWidth="1"/>
    <col min="13833" max="13835" width="10.7109375" style="105" customWidth="1"/>
    <col min="13836" max="13836" width="15.140625" style="105" customWidth="1"/>
    <col min="13837" max="14082" width="9.140625" style="105"/>
    <col min="14083" max="14083" width="20" style="105" customWidth="1"/>
    <col min="14084" max="14086" width="10.7109375" style="105" customWidth="1"/>
    <col min="14087" max="14087" width="6.5703125" style="105" customWidth="1"/>
    <col min="14088" max="14088" width="32.5703125" style="105" customWidth="1"/>
    <col min="14089" max="14091" width="10.7109375" style="105" customWidth="1"/>
    <col min="14092" max="14092" width="15.140625" style="105" customWidth="1"/>
    <col min="14093" max="14338" width="9.140625" style="105"/>
    <col min="14339" max="14339" width="20" style="105" customWidth="1"/>
    <col min="14340" max="14342" width="10.7109375" style="105" customWidth="1"/>
    <col min="14343" max="14343" width="6.5703125" style="105" customWidth="1"/>
    <col min="14344" max="14344" width="32.5703125" style="105" customWidth="1"/>
    <col min="14345" max="14347" width="10.7109375" style="105" customWidth="1"/>
    <col min="14348" max="14348" width="15.140625" style="105" customWidth="1"/>
    <col min="14349" max="14594" width="9.140625" style="105"/>
    <col min="14595" max="14595" width="20" style="105" customWidth="1"/>
    <col min="14596" max="14598" width="10.7109375" style="105" customWidth="1"/>
    <col min="14599" max="14599" width="6.5703125" style="105" customWidth="1"/>
    <col min="14600" max="14600" width="32.5703125" style="105" customWidth="1"/>
    <col min="14601" max="14603" width="10.7109375" style="105" customWidth="1"/>
    <col min="14604" max="14604" width="15.140625" style="105" customWidth="1"/>
    <col min="14605" max="14850" width="9.140625" style="105"/>
    <col min="14851" max="14851" width="20" style="105" customWidth="1"/>
    <col min="14852" max="14854" width="10.7109375" style="105" customWidth="1"/>
    <col min="14855" max="14855" width="6.5703125" style="105" customWidth="1"/>
    <col min="14856" max="14856" width="32.5703125" style="105" customWidth="1"/>
    <col min="14857" max="14859" width="10.7109375" style="105" customWidth="1"/>
    <col min="14860" max="14860" width="15.140625" style="105" customWidth="1"/>
    <col min="14861" max="15106" width="9.140625" style="105"/>
    <col min="15107" max="15107" width="20" style="105" customWidth="1"/>
    <col min="15108" max="15110" width="10.7109375" style="105" customWidth="1"/>
    <col min="15111" max="15111" width="6.5703125" style="105" customWidth="1"/>
    <col min="15112" max="15112" width="32.5703125" style="105" customWidth="1"/>
    <col min="15113" max="15115" width="10.7109375" style="105" customWidth="1"/>
    <col min="15116" max="15116" width="15.140625" style="105" customWidth="1"/>
    <col min="15117" max="15362" width="9.140625" style="105"/>
    <col min="15363" max="15363" width="20" style="105" customWidth="1"/>
    <col min="15364" max="15366" width="10.7109375" style="105" customWidth="1"/>
    <col min="15367" max="15367" width="6.5703125" style="105" customWidth="1"/>
    <col min="15368" max="15368" width="32.5703125" style="105" customWidth="1"/>
    <col min="15369" max="15371" width="10.7109375" style="105" customWidth="1"/>
    <col min="15372" max="15372" width="15.140625" style="105" customWidth="1"/>
    <col min="15373" max="15618" width="9.140625" style="105"/>
    <col min="15619" max="15619" width="20" style="105" customWidth="1"/>
    <col min="15620" max="15622" width="10.7109375" style="105" customWidth="1"/>
    <col min="15623" max="15623" width="6.5703125" style="105" customWidth="1"/>
    <col min="15624" max="15624" width="32.5703125" style="105" customWidth="1"/>
    <col min="15625" max="15627" width="10.7109375" style="105" customWidth="1"/>
    <col min="15628" max="15628" width="15.140625" style="105" customWidth="1"/>
    <col min="15629" max="15874" width="9.140625" style="105"/>
    <col min="15875" max="15875" width="20" style="105" customWidth="1"/>
    <col min="15876" max="15878" width="10.7109375" style="105" customWidth="1"/>
    <col min="15879" max="15879" width="6.5703125" style="105" customWidth="1"/>
    <col min="15880" max="15880" width="32.5703125" style="105" customWidth="1"/>
    <col min="15881" max="15883" width="10.7109375" style="105" customWidth="1"/>
    <col min="15884" max="15884" width="15.140625" style="105" customWidth="1"/>
    <col min="15885" max="16130" width="9.140625" style="105"/>
    <col min="16131" max="16131" width="20" style="105" customWidth="1"/>
    <col min="16132" max="16134" width="10.7109375" style="105" customWidth="1"/>
    <col min="16135" max="16135" width="6.5703125" style="105" customWidth="1"/>
    <col min="16136" max="16136" width="32.5703125" style="105" customWidth="1"/>
    <col min="16137" max="16139" width="10.7109375" style="105" customWidth="1"/>
    <col min="16140" max="16140" width="15.140625" style="105" customWidth="1"/>
    <col min="16141" max="16384" width="9.140625" style="105"/>
  </cols>
  <sheetData>
    <row r="1" spans="1:12" ht="12" customHeight="1" x14ac:dyDescent="0.2">
      <c r="A1" s="105" t="s">
        <v>456</v>
      </c>
      <c r="H1" s="588"/>
      <c r="J1" s="492"/>
      <c r="K1" s="543" t="s">
        <v>1844</v>
      </c>
      <c r="L1" s="492"/>
    </row>
    <row r="2" spans="1:12" ht="12" customHeight="1" x14ac:dyDescent="0.2">
      <c r="H2" s="588"/>
      <c r="J2" s="492"/>
      <c r="K2" s="492"/>
      <c r="L2" s="492"/>
    </row>
    <row r="3" spans="1:12" ht="12" customHeight="1" x14ac:dyDescent="0.2">
      <c r="A3" s="862" t="s">
        <v>282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528"/>
    </row>
    <row r="4" spans="1:12" ht="12" customHeight="1" x14ac:dyDescent="0.2">
      <c r="A4" s="905"/>
      <c r="B4" s="905"/>
      <c r="C4" s="905"/>
      <c r="D4" s="589"/>
      <c r="E4" s="589"/>
      <c r="F4" s="108"/>
      <c r="G4" s="906"/>
      <c r="H4" s="906"/>
      <c r="J4" s="497"/>
      <c r="K4" s="497" t="s">
        <v>281</v>
      </c>
      <c r="L4" s="497"/>
    </row>
    <row r="5" spans="1:12" ht="12" customHeight="1" x14ac:dyDescent="0.2">
      <c r="A5" s="864" t="s">
        <v>3</v>
      </c>
      <c r="B5" s="864"/>
      <c r="C5" s="864"/>
      <c r="D5" s="864"/>
      <c r="E5" s="864"/>
      <c r="F5" s="864"/>
      <c r="G5" s="864" t="s">
        <v>4</v>
      </c>
      <c r="H5" s="864"/>
      <c r="I5" s="864"/>
      <c r="J5" s="864"/>
      <c r="K5" s="864"/>
      <c r="L5" s="35"/>
    </row>
    <row r="6" spans="1:12" x14ac:dyDescent="0.2">
      <c r="A6" s="843" t="s">
        <v>50</v>
      </c>
      <c r="B6" s="844"/>
      <c r="C6" s="845"/>
      <c r="D6" s="692" t="s">
        <v>280</v>
      </c>
      <c r="E6" s="693"/>
      <c r="F6" s="694"/>
      <c r="G6" s="843" t="s">
        <v>50</v>
      </c>
      <c r="H6" s="845"/>
      <c r="I6" s="864" t="s">
        <v>280</v>
      </c>
      <c r="J6" s="864"/>
      <c r="K6" s="864"/>
      <c r="L6" s="35"/>
    </row>
    <row r="7" spans="1:12" x14ac:dyDescent="0.2">
      <c r="A7" s="846"/>
      <c r="B7" s="847"/>
      <c r="C7" s="848"/>
      <c r="D7" s="529">
        <v>2015</v>
      </c>
      <c r="E7" s="529">
        <v>2016</v>
      </c>
      <c r="F7" s="529">
        <v>2017</v>
      </c>
      <c r="G7" s="846"/>
      <c r="H7" s="848"/>
      <c r="I7" s="529">
        <v>2015</v>
      </c>
      <c r="J7" s="529">
        <v>2016</v>
      </c>
      <c r="K7" s="529">
        <v>2017</v>
      </c>
      <c r="L7" s="35"/>
    </row>
    <row r="8" spans="1:12" ht="12" customHeight="1" x14ac:dyDescent="0.2">
      <c r="A8" s="889" t="s">
        <v>279</v>
      </c>
      <c r="B8" s="899"/>
      <c r="C8" s="890"/>
      <c r="D8" s="40"/>
      <c r="E8" s="40"/>
      <c r="F8" s="40"/>
      <c r="G8" s="889" t="s">
        <v>278</v>
      </c>
      <c r="H8" s="890"/>
      <c r="I8" s="46">
        <f>47488*1.025</f>
        <v>48675.199999999997</v>
      </c>
      <c r="J8" s="46">
        <f t="shared" ref="J8:K10" si="0">+I8*1.025</f>
        <v>49892.079999999994</v>
      </c>
      <c r="K8" s="46">
        <f t="shared" si="0"/>
        <v>51139.381999999991</v>
      </c>
      <c r="L8" s="164"/>
    </row>
    <row r="9" spans="1:12" ht="12" customHeight="1" x14ac:dyDescent="0.2">
      <c r="A9" s="889" t="s">
        <v>277</v>
      </c>
      <c r="B9" s="899"/>
      <c r="C9" s="890"/>
      <c r="D9" s="40"/>
      <c r="E9" s="40"/>
      <c r="F9" s="40"/>
      <c r="G9" s="888" t="s">
        <v>276</v>
      </c>
      <c r="H9" s="888"/>
      <c r="I9" s="46">
        <f>10748*1.025</f>
        <v>11016.699999999999</v>
      </c>
      <c r="J9" s="46">
        <f t="shared" si="0"/>
        <v>11292.117499999998</v>
      </c>
      <c r="K9" s="46">
        <f t="shared" si="0"/>
        <v>11574.420437499997</v>
      </c>
      <c r="L9" s="164"/>
    </row>
    <row r="10" spans="1:12" ht="12" customHeight="1" x14ac:dyDescent="0.2">
      <c r="A10" s="889" t="s">
        <v>275</v>
      </c>
      <c r="B10" s="899"/>
      <c r="C10" s="890"/>
      <c r="D10" s="46">
        <f>33733*1.025</f>
        <v>34576.324999999997</v>
      </c>
      <c r="E10" s="46">
        <f>+D10*1.025</f>
        <v>35440.733124999992</v>
      </c>
      <c r="F10" s="46">
        <f>+E10*1.025</f>
        <v>36326.751453124991</v>
      </c>
      <c r="G10" s="888" t="s">
        <v>274</v>
      </c>
      <c r="H10" s="888"/>
      <c r="I10" s="46">
        <f>71008*1.025</f>
        <v>72783.199999999997</v>
      </c>
      <c r="J10" s="46">
        <f t="shared" si="0"/>
        <v>74602.779999999984</v>
      </c>
      <c r="K10" s="46">
        <f t="shared" si="0"/>
        <v>76467.849499999982</v>
      </c>
      <c r="L10" s="164"/>
    </row>
    <row r="11" spans="1:12" ht="12" customHeight="1" x14ac:dyDescent="0.2">
      <c r="A11" s="889" t="s">
        <v>273</v>
      </c>
      <c r="B11" s="899"/>
      <c r="C11" s="890"/>
      <c r="D11" s="46"/>
      <c r="E11" s="46"/>
      <c r="F11" s="46"/>
      <c r="G11" s="888" t="s">
        <v>272</v>
      </c>
      <c r="H11" s="888"/>
      <c r="I11" s="46"/>
      <c r="J11" s="46"/>
      <c r="K11" s="46"/>
      <c r="L11" s="164"/>
    </row>
    <row r="12" spans="1:12" ht="12" customHeight="1" x14ac:dyDescent="0.2">
      <c r="A12" s="888"/>
      <c r="B12" s="888"/>
      <c r="C12" s="888"/>
      <c r="D12" s="46"/>
      <c r="E12" s="46"/>
      <c r="F12" s="46"/>
      <c r="G12" s="888" t="s">
        <v>271</v>
      </c>
      <c r="H12" s="888"/>
      <c r="I12" s="46"/>
      <c r="J12" s="46"/>
      <c r="K12" s="46"/>
      <c r="L12" s="164"/>
    </row>
    <row r="13" spans="1:12" ht="12" customHeight="1" x14ac:dyDescent="0.2">
      <c r="A13" s="902"/>
      <c r="B13" s="902"/>
      <c r="C13" s="902"/>
      <c r="D13" s="46"/>
      <c r="E13" s="46"/>
      <c r="F13" s="46"/>
      <c r="G13" s="900" t="s">
        <v>270</v>
      </c>
      <c r="H13" s="901"/>
      <c r="I13" s="46"/>
      <c r="J13" s="46"/>
      <c r="K13" s="46"/>
      <c r="L13" s="164"/>
    </row>
    <row r="14" spans="1:12" ht="12" customHeight="1" x14ac:dyDescent="0.2">
      <c r="A14" s="903"/>
      <c r="B14" s="903"/>
      <c r="C14" s="903"/>
      <c r="D14" s="46"/>
      <c r="E14" s="46"/>
      <c r="F14" s="46"/>
      <c r="G14" s="889" t="s">
        <v>269</v>
      </c>
      <c r="H14" s="890"/>
      <c r="I14" s="46"/>
      <c r="J14" s="46"/>
      <c r="K14" s="46"/>
      <c r="L14" s="164"/>
    </row>
    <row r="15" spans="1:12" s="107" customFormat="1" ht="23.25" customHeight="1" x14ac:dyDescent="0.2">
      <c r="A15" s="894" t="s">
        <v>268</v>
      </c>
      <c r="B15" s="904"/>
      <c r="C15" s="895"/>
      <c r="D15" s="47">
        <f>SUM(D8:D11)</f>
        <v>34576.324999999997</v>
      </c>
      <c r="E15" s="47">
        <f>SUM(E8:E11)</f>
        <v>35440.733124999992</v>
      </c>
      <c r="F15" s="47">
        <f>SUM(F8:F11)</f>
        <v>36326.751453124991</v>
      </c>
      <c r="G15" s="894" t="s">
        <v>267</v>
      </c>
      <c r="H15" s="895"/>
      <c r="I15" s="47">
        <f>SUM(I8:I12)</f>
        <v>132475.09999999998</v>
      </c>
      <c r="J15" s="47">
        <f>SUM(J8:J12)</f>
        <v>135786.97749999998</v>
      </c>
      <c r="K15" s="47">
        <f>SUM(K8:K12)</f>
        <v>139181.65193749996</v>
      </c>
      <c r="L15" s="114"/>
    </row>
    <row r="16" spans="1:12" ht="12" customHeight="1" x14ac:dyDescent="0.2">
      <c r="A16" s="889"/>
      <c r="B16" s="899"/>
      <c r="C16" s="890"/>
      <c r="D16" s="46"/>
      <c r="E16" s="46"/>
      <c r="F16" s="46"/>
      <c r="G16" s="889"/>
      <c r="H16" s="890"/>
      <c r="I16" s="46"/>
      <c r="J16" s="46"/>
      <c r="K16" s="46"/>
      <c r="L16" s="164"/>
    </row>
    <row r="17" spans="1:12" ht="12" customHeight="1" x14ac:dyDescent="0.2">
      <c r="A17" s="889" t="s">
        <v>253</v>
      </c>
      <c r="B17" s="899"/>
      <c r="C17" s="890"/>
      <c r="D17" s="46"/>
      <c r="E17" s="46"/>
      <c r="F17" s="46"/>
      <c r="G17" s="889" t="s">
        <v>266</v>
      </c>
      <c r="H17" s="890"/>
      <c r="I17" s="46"/>
      <c r="J17" s="46"/>
      <c r="K17" s="46"/>
    </row>
    <row r="18" spans="1:12" ht="12" customHeight="1" x14ac:dyDescent="0.2">
      <c r="A18" s="887" t="s">
        <v>251</v>
      </c>
      <c r="B18" s="887"/>
      <c r="C18" s="887"/>
      <c r="D18" s="46"/>
      <c r="E18" s="46"/>
      <c r="F18" s="46"/>
      <c r="G18" s="887" t="s">
        <v>250</v>
      </c>
      <c r="H18" s="887"/>
      <c r="I18" s="46"/>
      <c r="J18" s="46"/>
      <c r="K18" s="46"/>
    </row>
    <row r="19" spans="1:12" ht="12" customHeight="1" x14ac:dyDescent="0.2">
      <c r="A19" s="887" t="s">
        <v>249</v>
      </c>
      <c r="B19" s="887"/>
      <c r="C19" s="887"/>
      <c r="D19" s="46"/>
      <c r="E19" s="46"/>
      <c r="F19" s="46"/>
      <c r="G19" s="887" t="s">
        <v>265</v>
      </c>
      <c r="H19" s="887"/>
      <c r="I19" s="46"/>
      <c r="J19" s="46"/>
      <c r="K19" s="46"/>
    </row>
    <row r="20" spans="1:12" ht="12" customHeight="1" x14ac:dyDescent="0.2">
      <c r="A20" s="888" t="s">
        <v>247</v>
      </c>
      <c r="B20" s="888"/>
      <c r="C20" s="888"/>
      <c r="D20" s="46"/>
      <c r="E20" s="46"/>
      <c r="F20" s="46"/>
      <c r="G20" s="887" t="s">
        <v>246</v>
      </c>
      <c r="H20" s="887"/>
      <c r="I20" s="46"/>
      <c r="J20" s="46"/>
      <c r="K20" s="46"/>
    </row>
    <row r="21" spans="1:12" ht="12" customHeight="1" x14ac:dyDescent="0.2">
      <c r="A21" s="888" t="s">
        <v>245</v>
      </c>
      <c r="B21" s="888"/>
      <c r="C21" s="888"/>
      <c r="D21" s="46"/>
      <c r="E21" s="46"/>
      <c r="F21" s="46"/>
      <c r="G21" s="887" t="s">
        <v>244</v>
      </c>
      <c r="H21" s="887"/>
      <c r="I21" s="46"/>
      <c r="J21" s="46"/>
      <c r="K21" s="46"/>
    </row>
    <row r="22" spans="1:12" ht="12" customHeight="1" x14ac:dyDescent="0.2">
      <c r="A22" s="887" t="s">
        <v>243</v>
      </c>
      <c r="B22" s="887"/>
      <c r="C22" s="887"/>
      <c r="D22" s="46">
        <f>+I26-D15</f>
        <v>97898.77499999998</v>
      </c>
      <c r="E22" s="46">
        <f>+J26-E15</f>
        <v>100346.24437499998</v>
      </c>
      <c r="F22" s="46">
        <f>+K26-F15</f>
        <v>102854.90048437497</v>
      </c>
      <c r="G22" s="887" t="s">
        <v>242</v>
      </c>
      <c r="H22" s="887"/>
      <c r="I22" s="46"/>
      <c r="J22" s="46"/>
      <c r="K22" s="46"/>
    </row>
    <row r="23" spans="1:12" ht="12" customHeight="1" x14ac:dyDescent="0.2">
      <c r="A23" s="891"/>
      <c r="B23" s="891"/>
      <c r="C23" s="891"/>
      <c r="D23" s="46"/>
      <c r="E23" s="46"/>
      <c r="F23" s="46"/>
      <c r="G23" s="887" t="s">
        <v>241</v>
      </c>
      <c r="H23" s="887"/>
      <c r="I23" s="46"/>
      <c r="J23" s="46"/>
      <c r="K23" s="46"/>
    </row>
    <row r="24" spans="1:12" ht="12" customHeight="1" x14ac:dyDescent="0.2">
      <c r="A24" s="902" t="s">
        <v>264</v>
      </c>
      <c r="B24" s="902"/>
      <c r="C24" s="902"/>
      <c r="D24" s="47">
        <f>SUM(D17:D22)</f>
        <v>97898.77499999998</v>
      </c>
      <c r="E24" s="47">
        <f>SUM(E17:E22)</f>
        <v>100346.24437499998</v>
      </c>
      <c r="F24" s="47">
        <f>SUM(F17:F22)</f>
        <v>102854.90048437497</v>
      </c>
      <c r="G24" s="894" t="s">
        <v>263</v>
      </c>
      <c r="H24" s="895"/>
      <c r="I24" s="47">
        <f>SUM(I17:I23)</f>
        <v>0</v>
      </c>
      <c r="J24" s="47">
        <f>SUM(J17:J23)</f>
        <v>0</v>
      </c>
      <c r="K24" s="47">
        <f>SUM(K17:K23)</f>
        <v>0</v>
      </c>
      <c r="L24" s="164"/>
    </row>
    <row r="25" spans="1:12" ht="12" customHeight="1" x14ac:dyDescent="0.2">
      <c r="A25" s="903"/>
      <c r="B25" s="903"/>
      <c r="C25" s="903"/>
      <c r="D25" s="47"/>
      <c r="E25" s="47"/>
      <c r="F25" s="47"/>
      <c r="G25" s="892"/>
      <c r="H25" s="893"/>
      <c r="I25" s="47"/>
      <c r="J25" s="47"/>
      <c r="K25" s="47"/>
      <c r="L25" s="164"/>
    </row>
    <row r="26" spans="1:12" ht="12" customHeight="1" x14ac:dyDescent="0.2">
      <c r="A26" s="902" t="s">
        <v>262</v>
      </c>
      <c r="B26" s="902"/>
      <c r="C26" s="902"/>
      <c r="D26" s="47">
        <f>+D15+D24</f>
        <v>132475.09999999998</v>
      </c>
      <c r="E26" s="47">
        <f>+E15+E24</f>
        <v>135786.97749999998</v>
      </c>
      <c r="F26" s="47">
        <f>+F15+F24</f>
        <v>139181.65193749996</v>
      </c>
      <c r="G26" s="894" t="s">
        <v>261</v>
      </c>
      <c r="H26" s="895"/>
      <c r="I26" s="47">
        <f>+I15+I24</f>
        <v>132475.09999999998</v>
      </c>
      <c r="J26" s="47">
        <f>+J15+J24</f>
        <v>135786.97749999998</v>
      </c>
      <c r="K26" s="47">
        <f>+K15+K24</f>
        <v>139181.65193749996</v>
      </c>
      <c r="L26" s="164"/>
    </row>
    <row r="27" spans="1:12" ht="12" customHeight="1" x14ac:dyDescent="0.2">
      <c r="A27" s="888"/>
      <c r="B27" s="888"/>
      <c r="C27" s="888"/>
      <c r="D27" s="46"/>
      <c r="E27" s="46"/>
      <c r="F27" s="46"/>
      <c r="G27" s="889"/>
      <c r="H27" s="890"/>
      <c r="I27" s="46"/>
      <c r="J27" s="46"/>
      <c r="K27" s="46"/>
      <c r="L27" s="164"/>
    </row>
    <row r="28" spans="1:12" ht="12.75" customHeight="1" x14ac:dyDescent="0.2">
      <c r="A28" s="889" t="s">
        <v>260</v>
      </c>
      <c r="B28" s="899"/>
      <c r="C28" s="890"/>
      <c r="D28" s="46"/>
      <c r="E28" s="46"/>
      <c r="F28" s="46"/>
      <c r="G28" s="889" t="s">
        <v>259</v>
      </c>
      <c r="H28" s="890"/>
      <c r="I28" s="46">
        <v>1235</v>
      </c>
      <c r="J28" s="46">
        <v>1265</v>
      </c>
      <c r="K28" s="46">
        <v>1300</v>
      </c>
      <c r="L28" s="164"/>
    </row>
    <row r="29" spans="1:12" ht="12" customHeight="1" x14ac:dyDescent="0.2">
      <c r="A29" s="889" t="s">
        <v>258</v>
      </c>
      <c r="B29" s="899"/>
      <c r="C29" s="890"/>
      <c r="D29" s="46"/>
      <c r="E29" s="46"/>
      <c r="F29" s="46"/>
      <c r="G29" s="889" t="s">
        <v>198</v>
      </c>
      <c r="H29" s="890"/>
      <c r="I29" s="46"/>
      <c r="J29" s="46"/>
      <c r="K29" s="46"/>
      <c r="L29" s="164"/>
    </row>
    <row r="30" spans="1:12" ht="12" customHeight="1" x14ac:dyDescent="0.2">
      <c r="A30" s="888" t="s">
        <v>257</v>
      </c>
      <c r="B30" s="888"/>
      <c r="C30" s="888"/>
      <c r="D30" s="46"/>
      <c r="E30" s="46"/>
      <c r="F30" s="46"/>
      <c r="G30" s="889" t="s">
        <v>256</v>
      </c>
      <c r="H30" s="890"/>
      <c r="I30" s="46"/>
      <c r="J30" s="46"/>
      <c r="K30" s="46"/>
      <c r="L30" s="164"/>
    </row>
    <row r="31" spans="1:12" ht="24" customHeight="1" x14ac:dyDescent="0.2">
      <c r="A31" s="894" t="s">
        <v>255</v>
      </c>
      <c r="B31" s="904"/>
      <c r="C31" s="895"/>
      <c r="D31" s="46">
        <f>SUM(D28:D30)</f>
        <v>0</v>
      </c>
      <c r="E31" s="46">
        <f>SUM(E28:E30)</f>
        <v>0</v>
      </c>
      <c r="F31" s="46">
        <f>SUM(F28:F30)</f>
        <v>0</v>
      </c>
      <c r="G31" s="894" t="s">
        <v>254</v>
      </c>
      <c r="H31" s="895"/>
      <c r="I31" s="47">
        <f>SUM(I28:I30)</f>
        <v>1235</v>
      </c>
      <c r="J31" s="47">
        <f>SUM(J28:J30)</f>
        <v>1265</v>
      </c>
      <c r="K31" s="47">
        <f>SUM(K28:K30)</f>
        <v>1300</v>
      </c>
      <c r="L31" s="164"/>
    </row>
    <row r="32" spans="1:12" ht="12" customHeight="1" x14ac:dyDescent="0.2">
      <c r="A32" s="888"/>
      <c r="B32" s="888"/>
      <c r="C32" s="888"/>
      <c r="D32" s="46"/>
      <c r="E32" s="46"/>
      <c r="F32" s="46"/>
      <c r="G32" s="889"/>
      <c r="H32" s="890"/>
      <c r="I32" s="46"/>
      <c r="J32" s="46"/>
      <c r="K32" s="46"/>
      <c r="L32" s="164"/>
    </row>
    <row r="33" spans="1:12" ht="12" customHeight="1" x14ac:dyDescent="0.2">
      <c r="A33" s="889" t="s">
        <v>253</v>
      </c>
      <c r="B33" s="899"/>
      <c r="C33" s="890"/>
      <c r="D33" s="46"/>
      <c r="E33" s="46"/>
      <c r="F33" s="46"/>
      <c r="G33" s="889" t="s">
        <v>252</v>
      </c>
      <c r="H33" s="890"/>
      <c r="I33" s="46"/>
      <c r="J33" s="46"/>
      <c r="K33" s="46"/>
    </row>
    <row r="34" spans="1:12" ht="12" customHeight="1" x14ac:dyDescent="0.2">
      <c r="A34" s="887" t="s">
        <v>251</v>
      </c>
      <c r="B34" s="887"/>
      <c r="C34" s="887"/>
      <c r="D34" s="46"/>
      <c r="E34" s="46"/>
      <c r="F34" s="46"/>
      <c r="G34" s="887" t="s">
        <v>250</v>
      </c>
      <c r="H34" s="887"/>
      <c r="I34" s="46"/>
      <c r="J34" s="46"/>
      <c r="K34" s="46"/>
    </row>
    <row r="35" spans="1:12" ht="12" customHeight="1" x14ac:dyDescent="0.2">
      <c r="A35" s="887" t="s">
        <v>249</v>
      </c>
      <c r="B35" s="887"/>
      <c r="C35" s="887"/>
      <c r="D35" s="46"/>
      <c r="E35" s="46"/>
      <c r="F35" s="46"/>
      <c r="G35" s="889" t="s">
        <v>248</v>
      </c>
      <c r="H35" s="890"/>
      <c r="I35" s="46"/>
      <c r="J35" s="46"/>
      <c r="K35" s="46"/>
    </row>
    <row r="36" spans="1:12" ht="12" customHeight="1" x14ac:dyDescent="0.2">
      <c r="A36" s="888" t="s">
        <v>247</v>
      </c>
      <c r="B36" s="888"/>
      <c r="C36" s="888"/>
      <c r="D36" s="46"/>
      <c r="E36" s="46"/>
      <c r="F36" s="46"/>
      <c r="G36" s="889" t="s">
        <v>246</v>
      </c>
      <c r="H36" s="890"/>
      <c r="I36" s="46"/>
      <c r="J36" s="46"/>
      <c r="K36" s="46"/>
    </row>
    <row r="37" spans="1:12" ht="12" customHeight="1" x14ac:dyDescent="0.2">
      <c r="A37" s="888" t="s">
        <v>245</v>
      </c>
      <c r="B37" s="888"/>
      <c r="C37" s="888"/>
      <c r="D37" s="46"/>
      <c r="E37" s="46"/>
      <c r="F37" s="46"/>
      <c r="G37" s="887" t="s">
        <v>244</v>
      </c>
      <c r="H37" s="887"/>
      <c r="I37" s="46"/>
      <c r="J37" s="46"/>
      <c r="K37" s="46"/>
    </row>
    <row r="38" spans="1:12" ht="12" customHeight="1" x14ac:dyDescent="0.2">
      <c r="A38" s="887" t="s">
        <v>243</v>
      </c>
      <c r="B38" s="887"/>
      <c r="C38" s="887"/>
      <c r="D38" s="46">
        <f>+I31</f>
        <v>1235</v>
      </c>
      <c r="E38" s="46">
        <f>+J31</f>
        <v>1265</v>
      </c>
      <c r="F38" s="46">
        <f>+K31</f>
        <v>1300</v>
      </c>
      <c r="G38" s="887" t="s">
        <v>242</v>
      </c>
      <c r="H38" s="887"/>
      <c r="I38" s="46"/>
      <c r="J38" s="46"/>
      <c r="K38" s="46"/>
    </row>
    <row r="39" spans="1:12" ht="12" customHeight="1" x14ac:dyDescent="0.2">
      <c r="A39" s="891"/>
      <c r="B39" s="891"/>
      <c r="C39" s="891"/>
      <c r="D39" s="46"/>
      <c r="E39" s="46"/>
      <c r="F39" s="46"/>
      <c r="G39" s="887" t="s">
        <v>241</v>
      </c>
      <c r="H39" s="887"/>
      <c r="I39" s="46"/>
      <c r="J39" s="46"/>
      <c r="K39" s="46"/>
    </row>
    <row r="40" spans="1:12" ht="12" customHeight="1" x14ac:dyDescent="0.2">
      <c r="A40" s="894" t="s">
        <v>240</v>
      </c>
      <c r="B40" s="904"/>
      <c r="C40" s="895"/>
      <c r="D40" s="47">
        <f>SUM(D33:D38)</f>
        <v>1235</v>
      </c>
      <c r="E40" s="47">
        <f>SUM(E33:E38)</f>
        <v>1265</v>
      </c>
      <c r="F40" s="47">
        <f>SUM(F33:F38)</f>
        <v>1300</v>
      </c>
      <c r="G40" s="894" t="s">
        <v>239</v>
      </c>
      <c r="H40" s="895"/>
      <c r="I40" s="47">
        <f>SUM(I33:I39)</f>
        <v>0</v>
      </c>
      <c r="J40" s="47">
        <f>SUM(J33:J39)</f>
        <v>0</v>
      </c>
      <c r="K40" s="47">
        <f>SUM(K33:K39)</f>
        <v>0</v>
      </c>
      <c r="L40" s="164"/>
    </row>
    <row r="41" spans="1:12" ht="12" customHeight="1" x14ac:dyDescent="0.2">
      <c r="A41" s="888"/>
      <c r="B41" s="888"/>
      <c r="C41" s="888"/>
      <c r="D41" s="47"/>
      <c r="E41" s="47"/>
      <c r="F41" s="47"/>
      <c r="G41" s="889"/>
      <c r="H41" s="890"/>
      <c r="I41" s="47"/>
      <c r="J41" s="47"/>
      <c r="K41" s="47"/>
      <c r="L41" s="164"/>
    </row>
    <row r="42" spans="1:12" ht="12.75" customHeight="1" x14ac:dyDescent="0.2">
      <c r="A42" s="902" t="s">
        <v>238</v>
      </c>
      <c r="B42" s="902"/>
      <c r="C42" s="902"/>
      <c r="D42" s="47">
        <f>+D31+D40</f>
        <v>1235</v>
      </c>
      <c r="E42" s="47">
        <f>+E31+E40</f>
        <v>1265</v>
      </c>
      <c r="F42" s="47">
        <f>+F31+F40</f>
        <v>1300</v>
      </c>
      <c r="G42" s="894" t="s">
        <v>237</v>
      </c>
      <c r="H42" s="895"/>
      <c r="I42" s="47">
        <f>+I31+I40</f>
        <v>1235</v>
      </c>
      <c r="J42" s="47">
        <f>+J31+J40</f>
        <v>1265</v>
      </c>
      <c r="K42" s="47">
        <f>+K31+K40</f>
        <v>1300</v>
      </c>
      <c r="L42" s="164"/>
    </row>
    <row r="43" spans="1:12" ht="12" customHeight="1" x14ac:dyDescent="0.2">
      <c r="A43" s="888"/>
      <c r="B43" s="888"/>
      <c r="C43" s="888"/>
      <c r="D43" s="47"/>
      <c r="E43" s="47"/>
      <c r="F43" s="47"/>
      <c r="G43" s="897"/>
      <c r="H43" s="898"/>
      <c r="I43" s="47"/>
      <c r="J43" s="47"/>
      <c r="K43" s="47"/>
      <c r="L43" s="164"/>
    </row>
    <row r="44" spans="1:12" ht="12.75" customHeight="1" x14ac:dyDescent="0.2">
      <c r="A44" s="896" t="s">
        <v>236</v>
      </c>
      <c r="B44" s="896"/>
      <c r="C44" s="896"/>
      <c r="D44" s="47">
        <f>+D26+D42</f>
        <v>133710.09999999998</v>
      </c>
      <c r="E44" s="47">
        <f>+E26+E42</f>
        <v>137051.97749999998</v>
      </c>
      <c r="F44" s="47">
        <f>+F26+F42</f>
        <v>140481.65193749996</v>
      </c>
      <c r="G44" s="896" t="s">
        <v>235</v>
      </c>
      <c r="H44" s="896"/>
      <c r="I44" s="47">
        <f>+I26+I42</f>
        <v>133710.09999999998</v>
      </c>
      <c r="J44" s="47">
        <f>+J26+J42</f>
        <v>137051.97749999998</v>
      </c>
      <c r="K44" s="47">
        <f>+K26+K42</f>
        <v>140481.65193749996</v>
      </c>
      <c r="L44" s="164"/>
    </row>
  </sheetData>
  <mergeCells count="83">
    <mergeCell ref="A44:C44"/>
    <mergeCell ref="G44:H44"/>
    <mergeCell ref="A41:C41"/>
    <mergeCell ref="G41:H41"/>
    <mergeCell ref="A42:C42"/>
    <mergeCell ref="G42:H42"/>
    <mergeCell ref="A43:C43"/>
    <mergeCell ref="G43:H43"/>
    <mergeCell ref="A38:C38"/>
    <mergeCell ref="G38:H38"/>
    <mergeCell ref="A39:C39"/>
    <mergeCell ref="G39:H39"/>
    <mergeCell ref="A40:C40"/>
    <mergeCell ref="G40:H40"/>
    <mergeCell ref="A35:C35"/>
    <mergeCell ref="G35:H35"/>
    <mergeCell ref="A36:C36"/>
    <mergeCell ref="G36:H36"/>
    <mergeCell ref="A37:C37"/>
    <mergeCell ref="G37:H37"/>
    <mergeCell ref="A32:C32"/>
    <mergeCell ref="G32:H32"/>
    <mergeCell ref="A33:C33"/>
    <mergeCell ref="G33:H33"/>
    <mergeCell ref="A34:C34"/>
    <mergeCell ref="G34:H34"/>
    <mergeCell ref="A29:C29"/>
    <mergeCell ref="G29:H29"/>
    <mergeCell ref="A30:C30"/>
    <mergeCell ref="G30:H30"/>
    <mergeCell ref="A31:C31"/>
    <mergeCell ref="G31:H31"/>
    <mergeCell ref="A26:C26"/>
    <mergeCell ref="G26:H26"/>
    <mergeCell ref="A27:C27"/>
    <mergeCell ref="G27:H27"/>
    <mergeCell ref="A28:C28"/>
    <mergeCell ref="G28:H28"/>
    <mergeCell ref="A23:C23"/>
    <mergeCell ref="G23:H23"/>
    <mergeCell ref="A24:C24"/>
    <mergeCell ref="G24:H24"/>
    <mergeCell ref="A25:C25"/>
    <mergeCell ref="G25:H25"/>
    <mergeCell ref="A20:C20"/>
    <mergeCell ref="G20:H20"/>
    <mergeCell ref="A21:C21"/>
    <mergeCell ref="G21:H21"/>
    <mergeCell ref="A22:C22"/>
    <mergeCell ref="G22:H22"/>
    <mergeCell ref="A17:C17"/>
    <mergeCell ref="G17:H17"/>
    <mergeCell ref="A18:C18"/>
    <mergeCell ref="G18:H18"/>
    <mergeCell ref="A19:C19"/>
    <mergeCell ref="G19:H19"/>
    <mergeCell ref="A14:C14"/>
    <mergeCell ref="G14:H14"/>
    <mergeCell ref="A15:C15"/>
    <mergeCell ref="G15:H15"/>
    <mergeCell ref="A16:C16"/>
    <mergeCell ref="G16:H16"/>
    <mergeCell ref="A11:C11"/>
    <mergeCell ref="G11:H11"/>
    <mergeCell ref="A12:C12"/>
    <mergeCell ref="G12:H12"/>
    <mergeCell ref="A13:C13"/>
    <mergeCell ref="G13:H13"/>
    <mergeCell ref="A8:C8"/>
    <mergeCell ref="G8:H8"/>
    <mergeCell ref="A9:C9"/>
    <mergeCell ref="G9:H9"/>
    <mergeCell ref="A10:C10"/>
    <mergeCell ref="G10:H10"/>
    <mergeCell ref="A6:C7"/>
    <mergeCell ref="D6:F6"/>
    <mergeCell ref="G6:H7"/>
    <mergeCell ref="I6:K6"/>
    <mergeCell ref="A3:K3"/>
    <mergeCell ref="A4:C4"/>
    <mergeCell ref="G4:H4"/>
    <mergeCell ref="A5:F5"/>
    <mergeCell ref="G5:K5"/>
  </mergeCells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K1" sqref="K1"/>
    </sheetView>
  </sheetViews>
  <sheetFormatPr defaultRowHeight="12.75" x14ac:dyDescent="0.2"/>
  <cols>
    <col min="1" max="2" width="9.140625" style="105"/>
    <col min="3" max="3" width="20" style="105" customWidth="1"/>
    <col min="4" max="6" width="10.7109375" style="105" customWidth="1"/>
    <col min="7" max="7" width="6.5703125" style="105" customWidth="1"/>
    <col min="8" max="8" width="32.5703125" style="105" customWidth="1"/>
    <col min="9" max="10" width="10.7109375" style="105" customWidth="1"/>
    <col min="11" max="11" width="11.85546875" style="105" bestFit="1" customWidth="1"/>
    <col min="12" max="12" width="15.140625" style="105" customWidth="1"/>
    <col min="13" max="16384" width="9.140625" style="105"/>
  </cols>
  <sheetData>
    <row r="1" spans="1:12" ht="12" customHeight="1" x14ac:dyDescent="0.2">
      <c r="A1" s="105" t="s">
        <v>452</v>
      </c>
      <c r="H1" s="588"/>
      <c r="J1" s="492"/>
      <c r="K1" s="543" t="s">
        <v>1845</v>
      </c>
      <c r="L1" s="492"/>
    </row>
    <row r="2" spans="1:12" ht="12" customHeight="1" x14ac:dyDescent="0.2">
      <c r="H2" s="588"/>
      <c r="J2" s="492"/>
      <c r="K2" s="492"/>
      <c r="L2" s="492"/>
    </row>
    <row r="3" spans="1:12" ht="12" customHeight="1" x14ac:dyDescent="0.2">
      <c r="A3" s="862" t="s">
        <v>282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528"/>
    </row>
    <row r="4" spans="1:12" ht="12" customHeight="1" x14ac:dyDescent="0.2">
      <c r="A4" s="905"/>
      <c r="B4" s="905"/>
      <c r="C4" s="905"/>
      <c r="D4" s="589"/>
      <c r="E4" s="589"/>
      <c r="F4" s="108"/>
      <c r="G4" s="906"/>
      <c r="H4" s="906"/>
      <c r="J4" s="497"/>
      <c r="K4" s="497" t="s">
        <v>281</v>
      </c>
      <c r="L4" s="497"/>
    </row>
    <row r="5" spans="1:12" ht="12" customHeight="1" x14ac:dyDescent="0.2">
      <c r="A5" s="864" t="s">
        <v>3</v>
      </c>
      <c r="B5" s="864"/>
      <c r="C5" s="864"/>
      <c r="D5" s="864"/>
      <c r="E5" s="864"/>
      <c r="F5" s="864"/>
      <c r="G5" s="864" t="s">
        <v>4</v>
      </c>
      <c r="H5" s="864"/>
      <c r="I5" s="864"/>
      <c r="J5" s="864"/>
      <c r="K5" s="864"/>
      <c r="L5" s="35"/>
    </row>
    <row r="6" spans="1:12" x14ac:dyDescent="0.2">
      <c r="A6" s="843" t="s">
        <v>50</v>
      </c>
      <c r="B6" s="844"/>
      <c r="C6" s="845"/>
      <c r="D6" s="692" t="s">
        <v>280</v>
      </c>
      <c r="E6" s="693"/>
      <c r="F6" s="694"/>
      <c r="G6" s="843" t="s">
        <v>50</v>
      </c>
      <c r="H6" s="845"/>
      <c r="I6" s="864" t="s">
        <v>280</v>
      </c>
      <c r="J6" s="864"/>
      <c r="K6" s="864"/>
      <c r="L6" s="35"/>
    </row>
    <row r="7" spans="1:12" x14ac:dyDescent="0.2">
      <c r="A7" s="846"/>
      <c r="B7" s="847"/>
      <c r="C7" s="848"/>
      <c r="D7" s="529">
        <v>2015</v>
      </c>
      <c r="E7" s="529">
        <v>2016</v>
      </c>
      <c r="F7" s="529">
        <v>2017</v>
      </c>
      <c r="G7" s="846"/>
      <c r="H7" s="848"/>
      <c r="I7" s="529">
        <v>2015</v>
      </c>
      <c r="J7" s="529">
        <v>2016</v>
      </c>
      <c r="K7" s="529">
        <v>2017</v>
      </c>
      <c r="L7" s="35"/>
    </row>
    <row r="8" spans="1:12" ht="12" customHeight="1" x14ac:dyDescent="0.2">
      <c r="A8" s="889" t="s">
        <v>279</v>
      </c>
      <c r="B8" s="899"/>
      <c r="C8" s="890"/>
      <c r="D8" s="27"/>
      <c r="E8" s="27"/>
      <c r="F8" s="25"/>
      <c r="G8" s="889" t="s">
        <v>278</v>
      </c>
      <c r="H8" s="890"/>
      <c r="I8" s="43">
        <v>87972</v>
      </c>
      <c r="J8" s="43">
        <v>90611</v>
      </c>
      <c r="K8" s="43">
        <v>93329</v>
      </c>
      <c r="L8" s="164"/>
    </row>
    <row r="9" spans="1:12" ht="12" customHeight="1" x14ac:dyDescent="0.2">
      <c r="A9" s="889" t="s">
        <v>277</v>
      </c>
      <c r="B9" s="899"/>
      <c r="C9" s="890"/>
      <c r="D9" s="31"/>
      <c r="E9" s="31"/>
      <c r="F9" s="25"/>
      <c r="G9" s="888" t="s">
        <v>276</v>
      </c>
      <c r="H9" s="888"/>
      <c r="I9" s="43">
        <v>26627</v>
      </c>
      <c r="J9" s="43">
        <v>27425</v>
      </c>
      <c r="K9" s="43">
        <v>28248</v>
      </c>
      <c r="L9" s="164"/>
    </row>
    <row r="10" spans="1:12" ht="12" customHeight="1" x14ac:dyDescent="0.2">
      <c r="A10" s="889" t="s">
        <v>275</v>
      </c>
      <c r="B10" s="899"/>
      <c r="C10" s="890"/>
      <c r="D10" s="43">
        <v>113090</v>
      </c>
      <c r="E10" s="43">
        <v>116482</v>
      </c>
      <c r="F10" s="43">
        <v>119976</v>
      </c>
      <c r="G10" s="888" t="s">
        <v>274</v>
      </c>
      <c r="H10" s="888"/>
      <c r="I10" s="43">
        <v>81089</v>
      </c>
      <c r="J10" s="43">
        <v>83526</v>
      </c>
      <c r="K10" s="43">
        <v>86031</v>
      </c>
      <c r="L10" s="164"/>
    </row>
    <row r="11" spans="1:12" ht="12" customHeight="1" x14ac:dyDescent="0.2">
      <c r="A11" s="889" t="s">
        <v>273</v>
      </c>
      <c r="B11" s="899"/>
      <c r="C11" s="890"/>
      <c r="D11" s="33"/>
      <c r="E11" s="43"/>
      <c r="F11" s="43"/>
      <c r="G11" s="888" t="s">
        <v>272</v>
      </c>
      <c r="H11" s="888"/>
      <c r="I11" s="43"/>
      <c r="J11" s="43"/>
      <c r="K11" s="43"/>
      <c r="L11" s="164"/>
    </row>
    <row r="12" spans="1:12" ht="12" customHeight="1" x14ac:dyDescent="0.2">
      <c r="A12" s="888"/>
      <c r="B12" s="888"/>
      <c r="C12" s="888"/>
      <c r="D12" s="27"/>
      <c r="E12" s="27"/>
      <c r="F12" s="25"/>
      <c r="G12" s="888" t="s">
        <v>271</v>
      </c>
      <c r="H12" s="888"/>
      <c r="I12" s="25"/>
      <c r="J12" s="25"/>
      <c r="K12" s="25"/>
      <c r="L12" s="164"/>
    </row>
    <row r="13" spans="1:12" ht="12" customHeight="1" x14ac:dyDescent="0.2">
      <c r="A13" s="902"/>
      <c r="B13" s="902"/>
      <c r="C13" s="902"/>
      <c r="D13" s="34"/>
      <c r="E13" s="34"/>
      <c r="F13" s="25"/>
      <c r="G13" s="900" t="s">
        <v>270</v>
      </c>
      <c r="H13" s="901"/>
      <c r="I13" s="25"/>
      <c r="J13" s="25"/>
      <c r="K13" s="25"/>
      <c r="L13" s="164"/>
    </row>
    <row r="14" spans="1:12" ht="12" customHeight="1" x14ac:dyDescent="0.2">
      <c r="A14" s="903"/>
      <c r="B14" s="903"/>
      <c r="C14" s="903"/>
      <c r="D14" s="32"/>
      <c r="E14" s="32"/>
      <c r="F14" s="25"/>
      <c r="G14" s="889" t="s">
        <v>269</v>
      </c>
      <c r="H14" s="890"/>
      <c r="I14" s="25"/>
      <c r="J14" s="25"/>
      <c r="K14" s="25"/>
      <c r="L14" s="164"/>
    </row>
    <row r="15" spans="1:12" ht="23.25" customHeight="1" x14ac:dyDescent="0.2">
      <c r="A15" s="894" t="s">
        <v>268</v>
      </c>
      <c r="B15" s="904"/>
      <c r="C15" s="895"/>
      <c r="D15" s="44">
        <v>113090</v>
      </c>
      <c r="E15" s="44">
        <v>116482</v>
      </c>
      <c r="F15" s="44">
        <v>119976</v>
      </c>
      <c r="G15" s="894" t="s">
        <v>267</v>
      </c>
      <c r="H15" s="895"/>
      <c r="I15" s="44">
        <f>SUM(I8:I14)</f>
        <v>195688</v>
      </c>
      <c r="J15" s="44">
        <f>SUM(J8:J14)</f>
        <v>201562</v>
      </c>
      <c r="K15" s="44">
        <f>SUM(K8:K14)</f>
        <v>207608</v>
      </c>
      <c r="L15" s="164"/>
    </row>
    <row r="16" spans="1:12" ht="12" customHeight="1" x14ac:dyDescent="0.2">
      <c r="A16" s="889"/>
      <c r="B16" s="899"/>
      <c r="C16" s="890"/>
      <c r="D16" s="33"/>
      <c r="E16" s="44"/>
      <c r="F16" s="44"/>
      <c r="G16" s="889"/>
      <c r="H16" s="890"/>
      <c r="I16" s="25"/>
      <c r="J16" s="25"/>
      <c r="K16" s="25"/>
      <c r="L16" s="164"/>
    </row>
    <row r="17" spans="1:12" ht="12" customHeight="1" x14ac:dyDescent="0.2">
      <c r="A17" s="889" t="s">
        <v>253</v>
      </c>
      <c r="B17" s="899"/>
      <c r="C17" s="890"/>
      <c r="D17" s="29"/>
      <c r="E17" s="29"/>
      <c r="F17" s="29"/>
      <c r="G17" s="889" t="s">
        <v>266</v>
      </c>
      <c r="H17" s="890"/>
      <c r="I17" s="159"/>
      <c r="J17" s="159"/>
      <c r="K17" s="159"/>
    </row>
    <row r="18" spans="1:12" ht="12" customHeight="1" x14ac:dyDescent="0.2">
      <c r="A18" s="887" t="s">
        <v>251</v>
      </c>
      <c r="B18" s="887"/>
      <c r="C18" s="887"/>
      <c r="D18" s="29"/>
      <c r="E18" s="29"/>
      <c r="F18" s="29"/>
      <c r="G18" s="887" t="s">
        <v>250</v>
      </c>
      <c r="H18" s="887"/>
      <c r="I18" s="159"/>
      <c r="J18" s="159"/>
      <c r="K18" s="159"/>
    </row>
    <row r="19" spans="1:12" ht="12" customHeight="1" x14ac:dyDescent="0.2">
      <c r="A19" s="887" t="s">
        <v>249</v>
      </c>
      <c r="B19" s="887"/>
      <c r="C19" s="887"/>
      <c r="D19" s="29"/>
      <c r="E19" s="29"/>
      <c r="F19" s="29"/>
      <c r="G19" s="887" t="s">
        <v>265</v>
      </c>
      <c r="H19" s="887"/>
      <c r="I19" s="159"/>
      <c r="J19" s="159"/>
      <c r="K19" s="159"/>
    </row>
    <row r="20" spans="1:12" ht="12" customHeight="1" x14ac:dyDescent="0.2">
      <c r="A20" s="888" t="s">
        <v>247</v>
      </c>
      <c r="B20" s="888"/>
      <c r="C20" s="888"/>
      <c r="D20" s="29"/>
      <c r="E20" s="29"/>
      <c r="F20" s="29"/>
      <c r="G20" s="887" t="s">
        <v>246</v>
      </c>
      <c r="H20" s="887"/>
      <c r="I20" s="159"/>
      <c r="J20" s="159"/>
      <c r="K20" s="159"/>
    </row>
    <row r="21" spans="1:12" ht="12" customHeight="1" x14ac:dyDescent="0.2">
      <c r="A21" s="888" t="s">
        <v>245</v>
      </c>
      <c r="B21" s="888"/>
      <c r="C21" s="888"/>
      <c r="D21" s="29"/>
      <c r="E21" s="29"/>
      <c r="F21" s="29"/>
      <c r="G21" s="887" t="s">
        <v>244</v>
      </c>
      <c r="H21" s="887"/>
      <c r="I21" s="159"/>
      <c r="J21" s="159"/>
      <c r="K21" s="159"/>
    </row>
    <row r="22" spans="1:12" ht="12" customHeight="1" x14ac:dyDescent="0.2">
      <c r="A22" s="887" t="s">
        <v>243</v>
      </c>
      <c r="B22" s="887"/>
      <c r="C22" s="887"/>
      <c r="D22" s="43">
        <v>82598</v>
      </c>
      <c r="E22" s="43">
        <v>85080</v>
      </c>
      <c r="F22" s="43">
        <v>87632</v>
      </c>
      <c r="G22" s="887" t="s">
        <v>242</v>
      </c>
      <c r="H22" s="887"/>
      <c r="I22" s="159"/>
      <c r="J22" s="159"/>
      <c r="K22" s="159"/>
    </row>
    <row r="23" spans="1:12" ht="12" customHeight="1" x14ac:dyDescent="0.2">
      <c r="A23" s="891"/>
      <c r="B23" s="891"/>
      <c r="C23" s="891"/>
      <c r="D23" s="29"/>
      <c r="E23" s="29"/>
      <c r="F23" s="29"/>
      <c r="G23" s="887" t="s">
        <v>241</v>
      </c>
      <c r="H23" s="887"/>
      <c r="I23" s="159"/>
      <c r="J23" s="159"/>
      <c r="K23" s="159"/>
    </row>
    <row r="24" spans="1:12" ht="12" customHeight="1" x14ac:dyDescent="0.2">
      <c r="A24" s="902" t="s">
        <v>264</v>
      </c>
      <c r="B24" s="902"/>
      <c r="C24" s="902"/>
      <c r="D24" s="44">
        <v>82598</v>
      </c>
      <c r="E24" s="44">
        <v>85080</v>
      </c>
      <c r="F24" s="44">
        <v>87632</v>
      </c>
      <c r="G24" s="894" t="s">
        <v>263</v>
      </c>
      <c r="H24" s="895"/>
      <c r="I24" s="25"/>
      <c r="J24" s="25"/>
      <c r="K24" s="25"/>
      <c r="L24" s="164"/>
    </row>
    <row r="25" spans="1:12" ht="12" customHeight="1" x14ac:dyDescent="0.2">
      <c r="A25" s="903"/>
      <c r="B25" s="903"/>
      <c r="C25" s="903"/>
      <c r="D25" s="44"/>
      <c r="E25" s="44"/>
      <c r="F25" s="44"/>
      <c r="G25" s="892"/>
      <c r="H25" s="893"/>
      <c r="I25" s="25"/>
      <c r="J25" s="25"/>
      <c r="K25" s="25"/>
      <c r="L25" s="164"/>
    </row>
    <row r="26" spans="1:12" ht="12" customHeight="1" x14ac:dyDescent="0.2">
      <c r="A26" s="902" t="s">
        <v>262</v>
      </c>
      <c r="B26" s="902"/>
      <c r="C26" s="902"/>
      <c r="D26" s="44">
        <v>195688</v>
      </c>
      <c r="E26" s="44">
        <v>201562</v>
      </c>
      <c r="F26" s="44">
        <v>207608</v>
      </c>
      <c r="G26" s="894" t="s">
        <v>261</v>
      </c>
      <c r="H26" s="895"/>
      <c r="I26" s="44">
        <v>195688</v>
      </c>
      <c r="J26" s="44">
        <v>201562</v>
      </c>
      <c r="K26" s="44">
        <v>207608</v>
      </c>
      <c r="L26" s="164"/>
    </row>
    <row r="27" spans="1:12" ht="12" customHeight="1" x14ac:dyDescent="0.2">
      <c r="A27" s="888"/>
      <c r="B27" s="888"/>
      <c r="C27" s="888"/>
      <c r="D27" s="26"/>
      <c r="E27" s="26"/>
      <c r="F27" s="25"/>
      <c r="G27" s="889"/>
      <c r="H27" s="890"/>
      <c r="I27" s="25"/>
      <c r="J27" s="25"/>
      <c r="K27" s="25"/>
      <c r="L27" s="164"/>
    </row>
    <row r="28" spans="1:12" ht="12.75" customHeight="1" x14ac:dyDescent="0.2">
      <c r="A28" s="889" t="s">
        <v>260</v>
      </c>
      <c r="B28" s="899"/>
      <c r="C28" s="890"/>
      <c r="D28" s="31"/>
      <c r="E28" s="31"/>
      <c r="F28" s="25"/>
      <c r="G28" s="889" t="s">
        <v>259</v>
      </c>
      <c r="H28" s="890"/>
      <c r="I28" s="43">
        <v>353</v>
      </c>
      <c r="J28" s="43">
        <v>353</v>
      </c>
      <c r="K28" s="43">
        <v>353</v>
      </c>
      <c r="L28" s="164"/>
    </row>
    <row r="29" spans="1:12" ht="12" customHeight="1" x14ac:dyDescent="0.2">
      <c r="A29" s="889" t="s">
        <v>258</v>
      </c>
      <c r="B29" s="899"/>
      <c r="C29" s="890"/>
      <c r="D29" s="31"/>
      <c r="E29" s="31"/>
      <c r="F29" s="25"/>
      <c r="G29" s="889" t="s">
        <v>198</v>
      </c>
      <c r="H29" s="890"/>
      <c r="I29" s="43">
        <v>5647</v>
      </c>
      <c r="J29" s="43">
        <v>6647</v>
      </c>
      <c r="K29" s="43">
        <v>7647</v>
      </c>
      <c r="L29" s="164"/>
    </row>
    <row r="30" spans="1:12" ht="12" customHeight="1" x14ac:dyDescent="0.2">
      <c r="A30" s="888" t="s">
        <v>257</v>
      </c>
      <c r="B30" s="888"/>
      <c r="C30" s="888"/>
      <c r="D30" s="27"/>
      <c r="E30" s="27"/>
      <c r="F30" s="25"/>
      <c r="G30" s="889" t="s">
        <v>256</v>
      </c>
      <c r="H30" s="890"/>
      <c r="I30" s="25"/>
      <c r="J30" s="25"/>
      <c r="K30" s="25"/>
      <c r="L30" s="164"/>
    </row>
    <row r="31" spans="1:12" ht="24" customHeight="1" x14ac:dyDescent="0.2">
      <c r="A31" s="894" t="s">
        <v>255</v>
      </c>
      <c r="B31" s="904"/>
      <c r="C31" s="895"/>
      <c r="D31" s="30"/>
      <c r="E31" s="30"/>
      <c r="F31" s="25"/>
      <c r="G31" s="894" t="s">
        <v>254</v>
      </c>
      <c r="H31" s="895"/>
      <c r="I31" s="44">
        <f>SUM(I28:I30)</f>
        <v>6000</v>
      </c>
      <c r="J31" s="44">
        <v>7000</v>
      </c>
      <c r="K31" s="44">
        <v>8000</v>
      </c>
      <c r="L31" s="164"/>
    </row>
    <row r="32" spans="1:12" ht="12" customHeight="1" x14ac:dyDescent="0.2">
      <c r="A32" s="888"/>
      <c r="B32" s="888"/>
      <c r="C32" s="888"/>
      <c r="D32" s="27"/>
      <c r="E32" s="27"/>
      <c r="F32" s="25"/>
      <c r="G32" s="889"/>
      <c r="H32" s="890"/>
      <c r="I32" s="25"/>
      <c r="J32" s="25"/>
      <c r="K32" s="25"/>
      <c r="L32" s="164"/>
    </row>
    <row r="33" spans="1:12" ht="12" customHeight="1" x14ac:dyDescent="0.2">
      <c r="A33" s="889" t="s">
        <v>253</v>
      </c>
      <c r="B33" s="899"/>
      <c r="C33" s="890"/>
      <c r="D33" s="29"/>
      <c r="E33" s="29"/>
      <c r="F33" s="29"/>
      <c r="G33" s="889" t="s">
        <v>252</v>
      </c>
      <c r="H33" s="890"/>
      <c r="I33" s="159"/>
      <c r="J33" s="159"/>
      <c r="K33" s="159"/>
    </row>
    <row r="34" spans="1:12" ht="12" customHeight="1" x14ac:dyDescent="0.2">
      <c r="A34" s="887" t="s">
        <v>251</v>
      </c>
      <c r="B34" s="887"/>
      <c r="C34" s="887"/>
      <c r="D34" s="29"/>
      <c r="E34" s="29"/>
      <c r="F34" s="29"/>
      <c r="G34" s="887" t="s">
        <v>250</v>
      </c>
      <c r="H34" s="887"/>
      <c r="I34" s="159"/>
      <c r="J34" s="159"/>
      <c r="K34" s="159"/>
    </row>
    <row r="35" spans="1:12" ht="12" customHeight="1" x14ac:dyDescent="0.2">
      <c r="A35" s="887" t="s">
        <v>249</v>
      </c>
      <c r="B35" s="887"/>
      <c r="C35" s="887"/>
      <c r="D35" s="29"/>
      <c r="E35" s="29"/>
      <c r="F35" s="29"/>
      <c r="G35" s="889" t="s">
        <v>248</v>
      </c>
      <c r="H35" s="890"/>
      <c r="I35" s="159"/>
      <c r="J35" s="159"/>
      <c r="K35" s="159"/>
    </row>
    <row r="36" spans="1:12" ht="12" customHeight="1" x14ac:dyDescent="0.2">
      <c r="A36" s="888" t="s">
        <v>247</v>
      </c>
      <c r="B36" s="888"/>
      <c r="C36" s="888"/>
      <c r="D36" s="29"/>
      <c r="E36" s="29"/>
      <c r="F36" s="29"/>
      <c r="G36" s="889" t="s">
        <v>246</v>
      </c>
      <c r="H36" s="890"/>
      <c r="I36" s="159"/>
      <c r="J36" s="159"/>
      <c r="K36" s="159"/>
    </row>
    <row r="37" spans="1:12" ht="12" customHeight="1" x14ac:dyDescent="0.2">
      <c r="A37" s="888" t="s">
        <v>245</v>
      </c>
      <c r="B37" s="888"/>
      <c r="C37" s="888"/>
      <c r="D37" s="29"/>
      <c r="E37" s="29"/>
      <c r="F37" s="29"/>
      <c r="G37" s="887" t="s">
        <v>244</v>
      </c>
      <c r="H37" s="887"/>
      <c r="I37" s="159"/>
      <c r="J37" s="159"/>
      <c r="K37" s="159"/>
    </row>
    <row r="38" spans="1:12" ht="12" customHeight="1" x14ac:dyDescent="0.2">
      <c r="A38" s="887" t="s">
        <v>243</v>
      </c>
      <c r="B38" s="887"/>
      <c r="C38" s="887"/>
      <c r="D38" s="43">
        <v>6000</v>
      </c>
      <c r="E38" s="43">
        <v>7000</v>
      </c>
      <c r="F38" s="43">
        <v>8000</v>
      </c>
      <c r="G38" s="887" t="s">
        <v>242</v>
      </c>
      <c r="H38" s="887"/>
      <c r="I38" s="159"/>
      <c r="J38" s="159"/>
      <c r="K38" s="159"/>
    </row>
    <row r="39" spans="1:12" ht="12" customHeight="1" x14ac:dyDescent="0.2">
      <c r="A39" s="891"/>
      <c r="B39" s="891"/>
      <c r="C39" s="891"/>
      <c r="D39" s="29"/>
      <c r="E39" s="29"/>
      <c r="F39" s="29"/>
      <c r="G39" s="887" t="s">
        <v>241</v>
      </c>
      <c r="H39" s="887"/>
      <c r="I39" s="159"/>
      <c r="J39" s="159"/>
      <c r="K39" s="159"/>
    </row>
    <row r="40" spans="1:12" ht="12" customHeight="1" x14ac:dyDescent="0.2">
      <c r="A40" s="894" t="s">
        <v>240</v>
      </c>
      <c r="B40" s="904"/>
      <c r="C40" s="895"/>
      <c r="D40" s="44">
        <v>6000</v>
      </c>
      <c r="E40" s="44">
        <v>7000</v>
      </c>
      <c r="F40" s="44">
        <v>8000</v>
      </c>
      <c r="G40" s="894" t="s">
        <v>239</v>
      </c>
      <c r="H40" s="895"/>
      <c r="I40" s="25"/>
      <c r="J40" s="25"/>
      <c r="K40" s="25"/>
      <c r="L40" s="164"/>
    </row>
    <row r="41" spans="1:12" ht="12" customHeight="1" x14ac:dyDescent="0.2">
      <c r="A41" s="888"/>
      <c r="B41" s="888"/>
      <c r="C41" s="888"/>
      <c r="D41" s="44"/>
      <c r="E41" s="44"/>
      <c r="F41" s="44"/>
      <c r="G41" s="889"/>
      <c r="H41" s="890"/>
      <c r="I41" s="25"/>
      <c r="J41" s="25"/>
      <c r="K41" s="25"/>
      <c r="L41" s="164"/>
    </row>
    <row r="42" spans="1:12" ht="12.75" customHeight="1" x14ac:dyDescent="0.2">
      <c r="A42" s="902" t="s">
        <v>238</v>
      </c>
      <c r="B42" s="902"/>
      <c r="C42" s="902"/>
      <c r="D42" s="44">
        <v>6000</v>
      </c>
      <c r="E42" s="44">
        <v>7000</v>
      </c>
      <c r="F42" s="44">
        <v>8000</v>
      </c>
      <c r="G42" s="894" t="s">
        <v>237</v>
      </c>
      <c r="H42" s="895"/>
      <c r="I42" s="44">
        <v>6000</v>
      </c>
      <c r="J42" s="44">
        <v>7000</v>
      </c>
      <c r="K42" s="44">
        <v>8000</v>
      </c>
      <c r="L42" s="164"/>
    </row>
    <row r="43" spans="1:12" ht="12" customHeight="1" x14ac:dyDescent="0.2">
      <c r="A43" s="888"/>
      <c r="B43" s="888"/>
      <c r="C43" s="888"/>
      <c r="D43" s="26"/>
      <c r="E43" s="26"/>
      <c r="F43" s="25"/>
      <c r="G43" s="897"/>
      <c r="H43" s="898"/>
      <c r="I43" s="25"/>
      <c r="J43" s="25"/>
      <c r="K43" s="25"/>
      <c r="L43" s="164"/>
    </row>
    <row r="44" spans="1:12" ht="12.75" customHeight="1" x14ac:dyDescent="0.2">
      <c r="A44" s="896" t="s">
        <v>236</v>
      </c>
      <c r="B44" s="896"/>
      <c r="C44" s="896"/>
      <c r="D44" s="44">
        <v>201688</v>
      </c>
      <c r="E44" s="44">
        <v>208562</v>
      </c>
      <c r="F44" s="44">
        <v>215608</v>
      </c>
      <c r="G44" s="896" t="s">
        <v>235</v>
      </c>
      <c r="H44" s="896"/>
      <c r="I44" s="44">
        <v>201688</v>
      </c>
      <c r="J44" s="44">
        <v>208562</v>
      </c>
      <c r="K44" s="44">
        <v>215608</v>
      </c>
      <c r="L44" s="164"/>
    </row>
    <row r="45" spans="1:12" x14ac:dyDescent="0.2">
      <c r="I45" s="45"/>
      <c r="J45" s="45"/>
      <c r="K45" s="45"/>
    </row>
  </sheetData>
  <mergeCells count="83">
    <mergeCell ref="A44:C44"/>
    <mergeCell ref="G44:H44"/>
    <mergeCell ref="A41:C41"/>
    <mergeCell ref="G41:H41"/>
    <mergeCell ref="A42:C42"/>
    <mergeCell ref="G42:H42"/>
    <mergeCell ref="A43:C43"/>
    <mergeCell ref="G43:H43"/>
    <mergeCell ref="A38:C38"/>
    <mergeCell ref="G38:H38"/>
    <mergeCell ref="A39:C39"/>
    <mergeCell ref="G39:H39"/>
    <mergeCell ref="A40:C40"/>
    <mergeCell ref="G40:H40"/>
    <mergeCell ref="A35:C35"/>
    <mergeCell ref="G35:H35"/>
    <mergeCell ref="A36:C36"/>
    <mergeCell ref="G36:H36"/>
    <mergeCell ref="A37:C37"/>
    <mergeCell ref="G37:H37"/>
    <mergeCell ref="A32:C32"/>
    <mergeCell ref="G32:H32"/>
    <mergeCell ref="A33:C33"/>
    <mergeCell ref="G33:H33"/>
    <mergeCell ref="A34:C34"/>
    <mergeCell ref="G34:H34"/>
    <mergeCell ref="A29:C29"/>
    <mergeCell ref="G29:H29"/>
    <mergeCell ref="A30:C30"/>
    <mergeCell ref="G30:H30"/>
    <mergeCell ref="A31:C31"/>
    <mergeCell ref="G31:H31"/>
    <mergeCell ref="A26:C26"/>
    <mergeCell ref="G26:H26"/>
    <mergeCell ref="A27:C27"/>
    <mergeCell ref="G27:H27"/>
    <mergeCell ref="A28:C28"/>
    <mergeCell ref="G28:H28"/>
    <mergeCell ref="A23:C23"/>
    <mergeCell ref="G23:H23"/>
    <mergeCell ref="A24:C24"/>
    <mergeCell ref="G24:H24"/>
    <mergeCell ref="A25:C25"/>
    <mergeCell ref="G25:H25"/>
    <mergeCell ref="A20:C20"/>
    <mergeCell ref="G20:H20"/>
    <mergeCell ref="A21:C21"/>
    <mergeCell ref="G21:H21"/>
    <mergeCell ref="A22:C22"/>
    <mergeCell ref="G22:H22"/>
    <mergeCell ref="A17:C17"/>
    <mergeCell ref="G17:H17"/>
    <mergeCell ref="A18:C18"/>
    <mergeCell ref="G18:H18"/>
    <mergeCell ref="A19:C19"/>
    <mergeCell ref="G19:H19"/>
    <mergeCell ref="A14:C14"/>
    <mergeCell ref="G14:H14"/>
    <mergeCell ref="A15:C15"/>
    <mergeCell ref="G15:H15"/>
    <mergeCell ref="A16:C16"/>
    <mergeCell ref="G16:H16"/>
    <mergeCell ref="A11:C11"/>
    <mergeCell ref="G11:H11"/>
    <mergeCell ref="A12:C12"/>
    <mergeCell ref="G12:H12"/>
    <mergeCell ref="A13:C13"/>
    <mergeCell ref="G13:H13"/>
    <mergeCell ref="A8:C8"/>
    <mergeCell ref="G8:H8"/>
    <mergeCell ref="A9:C9"/>
    <mergeCell ref="G9:H9"/>
    <mergeCell ref="A10:C10"/>
    <mergeCell ref="G10:H10"/>
    <mergeCell ref="A6:C7"/>
    <mergeCell ref="D6:F6"/>
    <mergeCell ref="G6:H7"/>
    <mergeCell ref="I6:K6"/>
    <mergeCell ref="A3:K3"/>
    <mergeCell ref="A4:C4"/>
    <mergeCell ref="G4:H4"/>
    <mergeCell ref="A5:F5"/>
    <mergeCell ref="G5:K5"/>
  </mergeCells>
  <pageMargins left="0.43307086614173229" right="0.15748031496062992" top="0.6692913385826772" bottom="0.31496062992125984" header="0.27559055118110237" footer="0.19685039370078741"/>
  <pageSetup paperSize="9" scale="85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F34" sqref="F34"/>
    </sheetView>
  </sheetViews>
  <sheetFormatPr defaultRowHeight="12.75" x14ac:dyDescent="0.2"/>
  <cols>
    <col min="1" max="1" width="43.42578125" style="105" customWidth="1"/>
    <col min="2" max="2" width="13.42578125" style="105" customWidth="1"/>
    <col min="3" max="4" width="12.140625" style="105" customWidth="1"/>
    <col min="5" max="5" width="13.5703125" style="105" customWidth="1"/>
    <col min="6" max="7" width="14.42578125" style="105" customWidth="1"/>
    <col min="8" max="8" width="12.5703125" style="105" customWidth="1"/>
    <col min="9" max="9" width="13.42578125" style="105" customWidth="1"/>
    <col min="10" max="10" width="16.42578125" style="105" customWidth="1"/>
    <col min="11" max="16384" width="9.140625" style="105"/>
  </cols>
  <sheetData>
    <row r="1" spans="1:10" x14ac:dyDescent="0.2">
      <c r="J1" s="543" t="s">
        <v>1837</v>
      </c>
    </row>
    <row r="2" spans="1:10" ht="15" x14ac:dyDescent="0.2">
      <c r="I2" s="171"/>
    </row>
    <row r="4" spans="1:10" ht="12.75" customHeight="1" x14ac:dyDescent="0.2">
      <c r="A4" s="862" t="s">
        <v>45</v>
      </c>
      <c r="B4" s="862"/>
      <c r="C4" s="862"/>
      <c r="D4" s="862"/>
      <c r="E4" s="862"/>
      <c r="F4" s="862"/>
      <c r="G4" s="862"/>
      <c r="H4" s="862"/>
      <c r="I4" s="862"/>
      <c r="J4" s="862"/>
    </row>
    <row r="5" spans="1:10" ht="12.75" customHeight="1" x14ac:dyDescent="0.2">
      <c r="A5" s="862" t="s">
        <v>46</v>
      </c>
      <c r="B5" s="862"/>
      <c r="C5" s="862"/>
      <c r="D5" s="862"/>
      <c r="E5" s="862"/>
      <c r="F5" s="862"/>
      <c r="G5" s="862"/>
      <c r="H5" s="862"/>
      <c r="I5" s="862"/>
      <c r="J5" s="862"/>
    </row>
    <row r="6" spans="1:10" x14ac:dyDescent="0.2">
      <c r="E6" s="105" t="s">
        <v>47</v>
      </c>
    </row>
    <row r="8" spans="1:10" x14ac:dyDescent="0.2">
      <c r="J8" s="169" t="s">
        <v>48</v>
      </c>
    </row>
    <row r="9" spans="1:10" x14ac:dyDescent="0.2">
      <c r="A9" s="172" t="s">
        <v>50</v>
      </c>
      <c r="B9" s="911" t="s">
        <v>102</v>
      </c>
      <c r="C9" s="912"/>
      <c r="D9" s="913"/>
      <c r="E9" s="8" t="s">
        <v>103</v>
      </c>
      <c r="F9" s="8" t="s">
        <v>51</v>
      </c>
      <c r="G9" s="173" t="s">
        <v>52</v>
      </c>
      <c r="H9" s="173" t="s">
        <v>106</v>
      </c>
      <c r="I9" s="8" t="s">
        <v>136</v>
      </c>
      <c r="J9" s="8" t="s">
        <v>17</v>
      </c>
    </row>
    <row r="10" spans="1:10" ht="33.75" x14ac:dyDescent="0.2">
      <c r="A10" s="172"/>
      <c r="B10" s="170" t="s">
        <v>557</v>
      </c>
      <c r="C10" s="157" t="s">
        <v>1304</v>
      </c>
      <c r="D10" s="157" t="s">
        <v>1311</v>
      </c>
      <c r="E10" s="8"/>
      <c r="F10" s="8"/>
      <c r="G10" s="173"/>
      <c r="H10" s="173"/>
      <c r="I10" s="8"/>
      <c r="J10" s="8"/>
    </row>
    <row r="11" spans="1:10" x14ac:dyDescent="0.2">
      <c r="A11" s="29" t="s">
        <v>49</v>
      </c>
      <c r="B11" s="25"/>
      <c r="C11" s="25"/>
      <c r="D11" s="25"/>
      <c r="E11" s="25"/>
      <c r="F11" s="25"/>
      <c r="G11" s="25"/>
      <c r="H11" s="25"/>
      <c r="I11" s="25"/>
      <c r="J11" s="25">
        <f>SUM(D11:I11)</f>
        <v>0</v>
      </c>
    </row>
    <row r="12" spans="1:10" x14ac:dyDescent="0.2">
      <c r="A12" s="29" t="s">
        <v>1690</v>
      </c>
      <c r="B12" s="102">
        <v>103875</v>
      </c>
      <c r="C12" s="102">
        <v>101809</v>
      </c>
      <c r="D12" s="102">
        <v>101809</v>
      </c>
      <c r="E12" s="25"/>
      <c r="F12" s="25"/>
      <c r="G12" s="25"/>
      <c r="H12" s="25"/>
      <c r="I12" s="25"/>
      <c r="J12" s="25">
        <f t="shared" ref="J12:J29" si="0">SUM(D12:I12)</f>
        <v>101809</v>
      </c>
    </row>
    <row r="13" spans="1:10" x14ac:dyDescent="0.2">
      <c r="A13" s="29" t="s">
        <v>1691</v>
      </c>
      <c r="B13" s="102">
        <f>180000+6864</f>
        <v>186864</v>
      </c>
      <c r="C13" s="102"/>
      <c r="D13" s="102"/>
      <c r="E13" s="25"/>
      <c r="F13" s="25"/>
      <c r="G13" s="25"/>
      <c r="H13" s="25"/>
      <c r="I13" s="25"/>
      <c r="J13" s="25">
        <f t="shared" si="0"/>
        <v>0</v>
      </c>
    </row>
    <row r="14" spans="1:10" x14ac:dyDescent="0.2">
      <c r="A14" s="29" t="s">
        <v>489</v>
      </c>
      <c r="B14" s="102">
        <f>150000+1553</f>
        <v>151553</v>
      </c>
      <c r="C14" s="102">
        <v>153868</v>
      </c>
      <c r="D14" s="102">
        <v>153868</v>
      </c>
      <c r="E14" s="25"/>
      <c r="F14" s="25"/>
      <c r="G14" s="25"/>
      <c r="H14" s="25"/>
      <c r="I14" s="25"/>
      <c r="J14" s="25">
        <f t="shared" si="0"/>
        <v>153868</v>
      </c>
    </row>
    <row r="15" spans="1:10" x14ac:dyDescent="0.2">
      <c r="A15" s="29" t="s">
        <v>485</v>
      </c>
      <c r="B15" s="102">
        <v>185000</v>
      </c>
      <c r="C15" s="102">
        <v>84681</v>
      </c>
      <c r="D15" s="102">
        <v>84681</v>
      </c>
      <c r="E15" s="25"/>
      <c r="F15" s="25"/>
      <c r="G15" s="25"/>
      <c r="H15" s="25"/>
      <c r="I15" s="25"/>
      <c r="J15" s="25">
        <f t="shared" si="0"/>
        <v>84681</v>
      </c>
    </row>
    <row r="16" spans="1:10" x14ac:dyDescent="0.2">
      <c r="A16" s="29" t="s">
        <v>1127</v>
      </c>
      <c r="B16" s="102"/>
      <c r="C16" s="102"/>
      <c r="D16" s="102"/>
      <c r="E16" s="25">
        <v>781458</v>
      </c>
      <c r="F16" s="25"/>
      <c r="G16" s="25"/>
      <c r="H16" s="25"/>
      <c r="I16" s="25"/>
      <c r="J16" s="25">
        <f t="shared" si="0"/>
        <v>781458</v>
      </c>
    </row>
    <row r="17" spans="1:10" x14ac:dyDescent="0.2">
      <c r="A17" s="29" t="s">
        <v>1128</v>
      </c>
      <c r="B17" s="102">
        <v>5148</v>
      </c>
      <c r="C17" s="102">
        <v>5320</v>
      </c>
      <c r="D17" s="102">
        <v>5320</v>
      </c>
      <c r="E17" s="25"/>
      <c r="F17" s="25"/>
      <c r="G17" s="25"/>
      <c r="H17" s="25"/>
      <c r="I17" s="25"/>
      <c r="J17" s="25">
        <f t="shared" si="0"/>
        <v>5320</v>
      </c>
    </row>
    <row r="18" spans="1:10" x14ac:dyDescent="0.2">
      <c r="A18" s="29" t="s">
        <v>1129</v>
      </c>
      <c r="B18" s="102">
        <v>329063</v>
      </c>
      <c r="C18" s="102">
        <v>312381</v>
      </c>
      <c r="D18" s="102">
        <v>312381</v>
      </c>
      <c r="E18" s="25"/>
      <c r="F18" s="25"/>
      <c r="G18" s="25"/>
      <c r="H18" s="25"/>
      <c r="I18" s="25"/>
      <c r="J18" s="25">
        <f t="shared" si="0"/>
        <v>312381</v>
      </c>
    </row>
    <row r="19" spans="1:10" x14ac:dyDescent="0.2">
      <c r="A19" s="29" t="s">
        <v>486</v>
      </c>
      <c r="B19" s="102">
        <v>3177</v>
      </c>
      <c r="C19" s="102">
        <v>140538</v>
      </c>
      <c r="D19" s="102">
        <v>140538</v>
      </c>
      <c r="E19" s="25"/>
      <c r="F19" s="25"/>
      <c r="G19" s="25"/>
      <c r="H19" s="25"/>
      <c r="I19" s="25"/>
      <c r="J19" s="25">
        <f t="shared" si="0"/>
        <v>140538</v>
      </c>
    </row>
    <row r="20" spans="1:10" x14ac:dyDescent="0.2">
      <c r="A20" s="29" t="s">
        <v>487</v>
      </c>
      <c r="B20" s="102">
        <v>44897</v>
      </c>
      <c r="C20" s="102">
        <v>45898</v>
      </c>
      <c r="D20" s="102">
        <v>45898</v>
      </c>
      <c r="E20" s="25"/>
      <c r="F20" s="25"/>
      <c r="G20" s="25"/>
      <c r="H20" s="25"/>
      <c r="I20" s="25"/>
      <c r="J20" s="25">
        <f t="shared" si="0"/>
        <v>45898</v>
      </c>
    </row>
    <row r="21" spans="1:10" x14ac:dyDescent="0.2">
      <c r="A21" s="29" t="s">
        <v>518</v>
      </c>
      <c r="B21" s="25">
        <v>35901</v>
      </c>
      <c r="C21" s="102"/>
      <c r="D21" s="102"/>
      <c r="E21" s="25"/>
      <c r="F21" s="25"/>
      <c r="G21" s="25"/>
      <c r="H21" s="25"/>
      <c r="I21" s="25"/>
      <c r="J21" s="25">
        <f t="shared" si="0"/>
        <v>0</v>
      </c>
    </row>
    <row r="22" spans="1:10" x14ac:dyDescent="0.2">
      <c r="A22" s="29" t="s">
        <v>1692</v>
      </c>
      <c r="B22" s="25">
        <v>0</v>
      </c>
      <c r="C22" s="102">
        <v>65909</v>
      </c>
      <c r="D22" s="102">
        <v>65909</v>
      </c>
      <c r="E22" s="25">
        <v>1146492</v>
      </c>
      <c r="F22" s="25"/>
      <c r="G22" s="25"/>
      <c r="H22" s="25"/>
      <c r="I22" s="25"/>
      <c r="J22" s="25">
        <f t="shared" si="0"/>
        <v>1212401</v>
      </c>
    </row>
    <row r="23" spans="1:10" x14ac:dyDescent="0.2">
      <c r="A23" s="29" t="s">
        <v>1130</v>
      </c>
      <c r="B23" s="174"/>
      <c r="C23" s="102">
        <v>56167</v>
      </c>
      <c r="D23" s="102">
        <v>56167</v>
      </c>
      <c r="E23" s="174"/>
      <c r="F23" s="174"/>
      <c r="G23" s="174"/>
      <c r="H23" s="174"/>
      <c r="I23" s="174"/>
      <c r="J23" s="25">
        <f t="shared" si="0"/>
        <v>56167</v>
      </c>
    </row>
    <row r="24" spans="1:10" x14ac:dyDescent="0.2">
      <c r="A24" s="29" t="s">
        <v>1131</v>
      </c>
      <c r="B24" s="174"/>
      <c r="C24" s="102">
        <v>9587</v>
      </c>
      <c r="D24" s="102">
        <v>9587</v>
      </c>
      <c r="E24" s="174"/>
      <c r="F24" s="174"/>
      <c r="G24" s="174"/>
      <c r="H24" s="174"/>
      <c r="I24" s="174"/>
      <c r="J24" s="25">
        <f t="shared" si="0"/>
        <v>9587</v>
      </c>
    </row>
    <row r="25" spans="1:10" x14ac:dyDescent="0.2">
      <c r="A25" s="29" t="s">
        <v>1132</v>
      </c>
      <c r="B25" s="174"/>
      <c r="C25" s="102">
        <v>150440</v>
      </c>
      <c r="D25" s="102">
        <v>150440</v>
      </c>
      <c r="E25" s="174"/>
      <c r="F25" s="174"/>
      <c r="G25" s="174"/>
      <c r="H25" s="174"/>
      <c r="I25" s="174"/>
      <c r="J25" s="25">
        <f t="shared" si="0"/>
        <v>150440</v>
      </c>
    </row>
    <row r="26" spans="1:10" x14ac:dyDescent="0.2">
      <c r="A26" s="29" t="s">
        <v>53</v>
      </c>
      <c r="B26" s="25"/>
      <c r="C26" s="25"/>
      <c r="D26" s="25"/>
      <c r="E26" s="25"/>
      <c r="F26" s="25"/>
      <c r="G26" s="25"/>
      <c r="H26" s="25"/>
      <c r="I26" s="25"/>
      <c r="J26" s="25">
        <f t="shared" si="0"/>
        <v>0</v>
      </c>
    </row>
    <row r="27" spans="1:10" x14ac:dyDescent="0.2">
      <c r="A27" s="29" t="s">
        <v>54</v>
      </c>
      <c r="B27" s="25"/>
      <c r="C27" s="25"/>
      <c r="D27" s="25"/>
      <c r="E27" s="25"/>
      <c r="F27" s="25"/>
      <c r="G27" s="25"/>
      <c r="H27" s="25"/>
      <c r="I27" s="25"/>
      <c r="J27" s="25">
        <f t="shared" si="0"/>
        <v>0</v>
      </c>
    </row>
    <row r="28" spans="1:10" x14ac:dyDescent="0.2">
      <c r="A28" s="29" t="s">
        <v>54</v>
      </c>
      <c r="B28" s="25"/>
      <c r="C28" s="25"/>
      <c r="D28" s="25"/>
      <c r="E28" s="25"/>
      <c r="F28" s="25"/>
      <c r="G28" s="25"/>
      <c r="H28" s="25"/>
      <c r="I28" s="25"/>
      <c r="J28" s="25">
        <f t="shared" si="0"/>
        <v>0</v>
      </c>
    </row>
    <row r="29" spans="1:10" x14ac:dyDescent="0.2">
      <c r="A29" s="175"/>
      <c r="B29" s="25"/>
      <c r="C29" s="25"/>
      <c r="D29" s="25"/>
      <c r="E29" s="25"/>
      <c r="F29" s="25"/>
      <c r="G29" s="25"/>
      <c r="H29" s="25"/>
      <c r="I29" s="25"/>
      <c r="J29" s="25">
        <f t="shared" si="0"/>
        <v>0</v>
      </c>
    </row>
    <row r="30" spans="1:10" x14ac:dyDescent="0.2">
      <c r="A30" s="175"/>
      <c r="B30" s="25"/>
      <c r="C30" s="25"/>
      <c r="D30" s="25"/>
      <c r="E30" s="25"/>
      <c r="F30" s="25"/>
      <c r="G30" s="25"/>
      <c r="H30" s="25"/>
      <c r="I30" s="25"/>
      <c r="J30" s="25"/>
    </row>
    <row r="31" spans="1:10" x14ac:dyDescent="0.2">
      <c r="A31" s="176" t="s">
        <v>42</v>
      </c>
      <c r="B31" s="161">
        <f>SUM(B11:B30)</f>
        <v>1045478</v>
      </c>
      <c r="C31" s="161">
        <f>SUM(C11:C30)</f>
        <v>1126598</v>
      </c>
      <c r="D31" s="161">
        <f>SUM(D11:D30)</f>
        <v>1126598</v>
      </c>
      <c r="E31" s="161">
        <f t="shared" ref="E31:I31" si="1">SUM(E11:E30)</f>
        <v>1927950</v>
      </c>
      <c r="F31" s="161">
        <f t="shared" si="1"/>
        <v>0</v>
      </c>
      <c r="G31" s="161">
        <f t="shared" si="1"/>
        <v>0</v>
      </c>
      <c r="H31" s="161">
        <f t="shared" si="1"/>
        <v>0</v>
      </c>
      <c r="I31" s="161">
        <f t="shared" si="1"/>
        <v>0</v>
      </c>
      <c r="J31" s="161">
        <f>SUM(J11:J30)</f>
        <v>3054548</v>
      </c>
    </row>
    <row r="35" spans="5:5" x14ac:dyDescent="0.2">
      <c r="E35" s="117"/>
    </row>
  </sheetData>
  <mergeCells count="3">
    <mergeCell ref="A4:J4"/>
    <mergeCell ref="A5:J5"/>
    <mergeCell ref="B9:D9"/>
  </mergeCells>
  <printOptions horizontalCentered="1"/>
  <pageMargins left="0.43307086614173229" right="0.15748031496062992" top="0.55118110236220474" bottom="0.31496062992125984" header="0.27559055118110237" footer="0.19685039370078741"/>
  <pageSetup paperSize="9" scale="85" orientation="landscape" r:id="rId1"/>
  <headerFooter alignWithMargins="0">
    <oddHeader>&amp;LVeresegyház Város Önkormányzat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K40" sqref="K40"/>
    </sheetView>
  </sheetViews>
  <sheetFormatPr defaultRowHeight="12.75" x14ac:dyDescent="0.2"/>
  <cols>
    <col min="1" max="1" width="60.140625" style="105" customWidth="1"/>
    <col min="2" max="3" width="15.7109375" style="105" customWidth="1"/>
    <col min="4" max="4" width="16.7109375" style="105" customWidth="1"/>
    <col min="5" max="16384" width="9.140625" style="105"/>
  </cols>
  <sheetData>
    <row r="1" spans="1:4" x14ac:dyDescent="0.2">
      <c r="A1" s="108"/>
      <c r="D1" s="544" t="s">
        <v>140</v>
      </c>
    </row>
    <row r="2" spans="1:4" x14ac:dyDescent="0.2">
      <c r="A2" s="108"/>
      <c r="B2" s="108"/>
      <c r="C2" s="108"/>
    </row>
    <row r="3" spans="1:4" x14ac:dyDescent="0.2">
      <c r="A3" s="677" t="s">
        <v>66</v>
      </c>
      <c r="B3" s="677"/>
      <c r="C3" s="677"/>
      <c r="D3" s="677"/>
    </row>
    <row r="4" spans="1:4" ht="51" customHeight="1" x14ac:dyDescent="0.2">
      <c r="A4" s="674" t="s">
        <v>555</v>
      </c>
      <c r="B4" s="674"/>
      <c r="C4" s="674"/>
      <c r="D4" s="674"/>
    </row>
    <row r="5" spans="1:4" ht="12" customHeight="1" x14ac:dyDescent="0.2">
      <c r="A5" s="538"/>
      <c r="B5" s="538"/>
      <c r="C5" s="538"/>
    </row>
    <row r="6" spans="1:4" x14ac:dyDescent="0.2">
      <c r="A6" s="108"/>
      <c r="D6" s="497" t="s">
        <v>71</v>
      </c>
    </row>
    <row r="7" spans="1:4" ht="18.75" customHeight="1" x14ac:dyDescent="0.2">
      <c r="A7" s="529" t="s">
        <v>70</v>
      </c>
      <c r="B7" s="692" t="s">
        <v>101</v>
      </c>
      <c r="C7" s="693"/>
      <c r="D7" s="834"/>
    </row>
    <row r="8" spans="1:4" ht="36" customHeight="1" x14ac:dyDescent="0.2">
      <c r="A8" s="529"/>
      <c r="B8" s="527" t="s">
        <v>562</v>
      </c>
      <c r="C8" s="157" t="s">
        <v>1304</v>
      </c>
      <c r="D8" s="157" t="s">
        <v>1311</v>
      </c>
    </row>
    <row r="9" spans="1:4" ht="26.25" customHeight="1" x14ac:dyDescent="0.2">
      <c r="A9" s="15" t="s">
        <v>100</v>
      </c>
      <c r="B9" s="29"/>
      <c r="C9" s="29"/>
      <c r="D9" s="29"/>
    </row>
    <row r="10" spans="1:4" x14ac:dyDescent="0.2">
      <c r="A10" s="29" t="s">
        <v>484</v>
      </c>
      <c r="B10" s="25">
        <v>537134</v>
      </c>
      <c r="C10" s="25">
        <v>537134</v>
      </c>
      <c r="D10" s="25"/>
    </row>
    <row r="11" spans="1:4" x14ac:dyDescent="0.2">
      <c r="A11" s="29" t="s">
        <v>551</v>
      </c>
      <c r="B11" s="25">
        <v>547425</v>
      </c>
      <c r="C11" s="25">
        <v>547425</v>
      </c>
      <c r="D11" s="25"/>
    </row>
    <row r="12" spans="1:4" x14ac:dyDescent="0.2">
      <c r="A12" s="29" t="s">
        <v>552</v>
      </c>
      <c r="B12" s="25">
        <v>174679</v>
      </c>
      <c r="C12" s="25">
        <v>174679</v>
      </c>
      <c r="D12" s="25"/>
    </row>
    <row r="13" spans="1:4" x14ac:dyDescent="0.2">
      <c r="A13" s="29" t="s">
        <v>553</v>
      </c>
      <c r="B13" s="25">
        <v>163810</v>
      </c>
      <c r="C13" s="25"/>
      <c r="D13" s="25"/>
    </row>
    <row r="14" spans="1:4" x14ac:dyDescent="0.2">
      <c r="A14" s="29" t="s">
        <v>554</v>
      </c>
      <c r="B14" s="25">
        <v>120000</v>
      </c>
      <c r="C14" s="25"/>
      <c r="D14" s="25"/>
    </row>
    <row r="15" spans="1:4" x14ac:dyDescent="0.2">
      <c r="A15" s="29" t="s">
        <v>556</v>
      </c>
      <c r="B15" s="25">
        <f>SUM(B10:B14)</f>
        <v>1543048</v>
      </c>
      <c r="C15" s="25">
        <f>SUM(C10:C14)</f>
        <v>1259238</v>
      </c>
      <c r="D15" s="25"/>
    </row>
    <row r="16" spans="1:4" x14ac:dyDescent="0.2">
      <c r="A16" s="29"/>
      <c r="B16" s="29"/>
      <c r="C16" s="29"/>
      <c r="D16" s="29"/>
    </row>
    <row r="17" spans="1:4" x14ac:dyDescent="0.2">
      <c r="A17" s="29"/>
      <c r="B17" s="29"/>
      <c r="C17" s="29"/>
      <c r="D17" s="29"/>
    </row>
    <row r="18" spans="1:4" x14ac:dyDescent="0.2">
      <c r="A18" s="29" t="s">
        <v>1133</v>
      </c>
      <c r="B18" s="25">
        <v>1200000</v>
      </c>
      <c r="C18" s="25">
        <v>1200000</v>
      </c>
      <c r="D18" s="25"/>
    </row>
    <row r="19" spans="1:4" x14ac:dyDescent="0.2">
      <c r="A19" s="29"/>
      <c r="B19" s="29"/>
      <c r="C19" s="29"/>
      <c r="D19" s="25"/>
    </row>
    <row r="20" spans="1:4" x14ac:dyDescent="0.2">
      <c r="A20" s="29" t="s">
        <v>68</v>
      </c>
      <c r="B20" s="29"/>
      <c r="C20" s="29"/>
      <c r="D20" s="29"/>
    </row>
    <row r="21" spans="1:4" x14ac:dyDescent="0.2">
      <c r="A21" s="29" t="s">
        <v>69</v>
      </c>
      <c r="B21" s="29"/>
      <c r="C21" s="29"/>
      <c r="D21" s="29"/>
    </row>
    <row r="22" spans="1:4" x14ac:dyDescent="0.2">
      <c r="A22" s="29"/>
      <c r="B22" s="29"/>
      <c r="C22" s="29"/>
      <c r="D22" s="29"/>
    </row>
    <row r="23" spans="1:4" x14ac:dyDescent="0.2">
      <c r="A23" s="29"/>
      <c r="B23" s="29"/>
      <c r="C23" s="29"/>
      <c r="D23" s="29"/>
    </row>
    <row r="24" spans="1:4" x14ac:dyDescent="0.2">
      <c r="A24" s="29"/>
      <c r="B24" s="29"/>
      <c r="C24" s="29"/>
      <c r="D24" s="29"/>
    </row>
    <row r="25" spans="1:4" x14ac:dyDescent="0.2">
      <c r="A25" s="29"/>
      <c r="B25" s="29"/>
      <c r="C25" s="29"/>
      <c r="D25" s="29"/>
    </row>
    <row r="26" spans="1:4" x14ac:dyDescent="0.2">
      <c r="A26" s="112"/>
      <c r="B26" s="51"/>
      <c r="C26" s="51"/>
      <c r="D26" s="51"/>
    </row>
    <row r="27" spans="1:4" x14ac:dyDescent="0.2">
      <c r="A27" s="108"/>
      <c r="B27" s="108"/>
      <c r="C27" s="108"/>
    </row>
  </sheetData>
  <mergeCells count="3">
    <mergeCell ref="B7:D7"/>
    <mergeCell ref="A4:D4"/>
    <mergeCell ref="A3:D3"/>
  </mergeCells>
  <printOptions horizontalCentered="1"/>
  <pageMargins left="0.43307086614173229" right="0.15748031496062992" top="0.59055118110236227" bottom="0.31496062992125984" header="0.27559055118110237" footer="0.19685039370078741"/>
  <pageSetup paperSize="9" scale="90" orientation="portrait" r:id="rId1"/>
  <headerFooter alignWithMargins="0">
    <oddHeader>&amp;LVeresegyház Város Önkormányzat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topLeftCell="A19" workbookViewId="0">
      <selection activeCell="D44" sqref="D44"/>
    </sheetView>
  </sheetViews>
  <sheetFormatPr defaultRowHeight="12.75" x14ac:dyDescent="0.2"/>
  <cols>
    <col min="1" max="1" width="63.28515625" style="105" customWidth="1"/>
    <col min="2" max="2" width="12.42578125" style="105" customWidth="1"/>
    <col min="3" max="3" width="12.140625" style="105" customWidth="1"/>
    <col min="4" max="4" width="12" style="105" customWidth="1"/>
    <col min="5" max="5" width="10.85546875" style="105" customWidth="1"/>
    <col min="6" max="16384" width="9.140625" style="105"/>
  </cols>
  <sheetData>
    <row r="1" spans="1:5" x14ac:dyDescent="0.2">
      <c r="D1" s="177"/>
      <c r="E1" s="178" t="s">
        <v>137</v>
      </c>
    </row>
    <row r="2" spans="1:5" x14ac:dyDescent="0.2">
      <c r="A2" s="914" t="s">
        <v>22</v>
      </c>
      <c r="B2" s="914"/>
      <c r="C2" s="914"/>
      <c r="D2" s="914"/>
      <c r="E2" s="914"/>
    </row>
    <row r="3" spans="1:5" x14ac:dyDescent="0.2">
      <c r="A3" s="914" t="s">
        <v>95</v>
      </c>
      <c r="B3" s="914"/>
      <c r="C3" s="914"/>
      <c r="D3" s="914"/>
      <c r="E3" s="914"/>
    </row>
    <row r="4" spans="1:5" x14ac:dyDescent="0.2">
      <c r="A4" s="177"/>
      <c r="E4" s="178" t="s">
        <v>71</v>
      </c>
    </row>
    <row r="5" spans="1:5" ht="67.5" x14ac:dyDescent="0.2">
      <c r="A5" s="59" t="s">
        <v>80</v>
      </c>
      <c r="B5" s="60" t="s">
        <v>139</v>
      </c>
      <c r="C5" s="527" t="s">
        <v>577</v>
      </c>
      <c r="D5" s="527" t="s">
        <v>1305</v>
      </c>
      <c r="E5" s="527" t="s">
        <v>1314</v>
      </c>
    </row>
    <row r="6" spans="1:5" x14ac:dyDescent="0.2">
      <c r="A6" s="179" t="s">
        <v>72</v>
      </c>
      <c r="B6" s="180">
        <v>3800000</v>
      </c>
      <c r="C6" s="25">
        <f>3838200-15000-53900</f>
        <v>3769300</v>
      </c>
      <c r="D6" s="25">
        <v>4032904</v>
      </c>
      <c r="E6" s="25">
        <v>3371656</v>
      </c>
    </row>
    <row r="7" spans="1:5" ht="33.75" customHeight="1" x14ac:dyDescent="0.2">
      <c r="A7" s="61" t="s">
        <v>1116</v>
      </c>
      <c r="B7" s="180">
        <v>72000</v>
      </c>
      <c r="C7" s="25">
        <v>70319</v>
      </c>
      <c r="D7" s="25">
        <v>172204</v>
      </c>
      <c r="E7" s="25">
        <v>146275</v>
      </c>
    </row>
    <row r="8" spans="1:5" x14ac:dyDescent="0.2">
      <c r="A8" s="179" t="s">
        <v>73</v>
      </c>
      <c r="B8" s="180">
        <v>186378</v>
      </c>
      <c r="C8" s="25">
        <v>350000</v>
      </c>
      <c r="D8" s="25">
        <v>410321</v>
      </c>
      <c r="E8" s="25">
        <v>302001</v>
      </c>
    </row>
    <row r="9" spans="1:5" x14ac:dyDescent="0.2">
      <c r="A9" s="179" t="s">
        <v>74</v>
      </c>
      <c r="B9" s="180"/>
      <c r="C9" s="29"/>
      <c r="D9" s="29"/>
      <c r="E9" s="29"/>
    </row>
    <row r="10" spans="1:5" x14ac:dyDescent="0.2">
      <c r="A10" s="179" t="s">
        <v>75</v>
      </c>
      <c r="B10" s="180"/>
      <c r="C10" s="29"/>
      <c r="D10" s="29"/>
      <c r="E10" s="29"/>
    </row>
    <row r="11" spans="1:5" x14ac:dyDescent="0.2">
      <c r="A11" s="179" t="s">
        <v>76</v>
      </c>
      <c r="B11" s="180"/>
      <c r="C11" s="29"/>
      <c r="D11" s="29"/>
      <c r="E11" s="29"/>
    </row>
    <row r="12" spans="1:5" x14ac:dyDescent="0.2">
      <c r="A12" s="179" t="s">
        <v>77</v>
      </c>
      <c r="B12" s="180"/>
      <c r="C12" s="29"/>
      <c r="D12" s="29"/>
      <c r="E12" s="29"/>
    </row>
    <row r="13" spans="1:5" x14ac:dyDescent="0.2">
      <c r="A13" s="179" t="s">
        <v>78</v>
      </c>
      <c r="B13" s="180">
        <v>15000</v>
      </c>
      <c r="C13" s="25">
        <v>15000</v>
      </c>
      <c r="D13" s="25">
        <v>27987</v>
      </c>
      <c r="E13" s="25">
        <v>11808</v>
      </c>
    </row>
    <row r="14" spans="1:5" x14ac:dyDescent="0.2">
      <c r="A14" s="179" t="s">
        <v>79</v>
      </c>
      <c r="B14" s="180"/>
      <c r="C14" s="29"/>
      <c r="D14" s="29"/>
      <c r="E14" s="29"/>
    </row>
    <row r="15" spans="1:5" x14ac:dyDescent="0.2">
      <c r="A15" s="181" t="s">
        <v>81</v>
      </c>
      <c r="B15" s="182">
        <f>SUM(B6:B14)</f>
        <v>4073378</v>
      </c>
      <c r="C15" s="182">
        <f>SUM(C6:C14)</f>
        <v>4204619</v>
      </c>
      <c r="D15" s="182">
        <f>SUM(D6:D14)</f>
        <v>4643416</v>
      </c>
      <c r="E15" s="182">
        <f>SUM(E6:E14)</f>
        <v>3831740</v>
      </c>
    </row>
    <row r="16" spans="1:5" x14ac:dyDescent="0.2">
      <c r="A16" s="183"/>
      <c r="B16" s="183"/>
    </row>
    <row r="17" spans="1:5" ht="15.75" customHeight="1" x14ac:dyDescent="0.2">
      <c r="A17" s="917" t="s">
        <v>94</v>
      </c>
      <c r="B17" s="917"/>
      <c r="C17" s="917"/>
      <c r="D17" s="917"/>
      <c r="E17" s="917"/>
    </row>
    <row r="18" spans="1:5" ht="15.75" customHeight="1" x14ac:dyDescent="0.2">
      <c r="A18" s="539"/>
      <c r="B18" s="539"/>
      <c r="C18" s="539"/>
    </row>
    <row r="19" spans="1:5" x14ac:dyDescent="0.2">
      <c r="A19" s="918"/>
      <c r="B19" s="918"/>
    </row>
    <row r="20" spans="1:5" x14ac:dyDescent="0.2">
      <c r="A20" s="540"/>
      <c r="B20" s="540"/>
      <c r="E20" s="178" t="s">
        <v>141</v>
      </c>
    </row>
    <row r="21" spans="1:5" x14ac:dyDescent="0.2">
      <c r="A21" s="914" t="s">
        <v>22</v>
      </c>
      <c r="B21" s="914"/>
      <c r="C21" s="914"/>
      <c r="D21" s="914"/>
      <c r="E21" s="914"/>
    </row>
    <row r="22" spans="1:5" ht="15" customHeight="1" x14ac:dyDescent="0.2">
      <c r="A22" s="915" t="s">
        <v>96</v>
      </c>
      <c r="B22" s="915"/>
      <c r="C22" s="915"/>
      <c r="D22" s="915"/>
      <c r="E22" s="915"/>
    </row>
    <row r="23" spans="1:5" x14ac:dyDescent="0.2">
      <c r="A23" s="177"/>
      <c r="E23" s="178" t="s">
        <v>71</v>
      </c>
    </row>
    <row r="24" spans="1:5" ht="90" x14ac:dyDescent="0.2">
      <c r="A24" s="62" t="s">
        <v>91</v>
      </c>
      <c r="B24" s="60" t="s">
        <v>138</v>
      </c>
      <c r="C24" s="527" t="s">
        <v>576</v>
      </c>
      <c r="D24" s="527" t="s">
        <v>1306</v>
      </c>
      <c r="E24" s="527" t="s">
        <v>1315</v>
      </c>
    </row>
    <row r="25" spans="1:5" x14ac:dyDescent="0.2">
      <c r="A25" s="179" t="s">
        <v>483</v>
      </c>
      <c r="B25" s="219">
        <v>1200000</v>
      </c>
      <c r="C25" s="219">
        <v>646567</v>
      </c>
      <c r="D25" s="220">
        <v>0</v>
      </c>
      <c r="E25" s="220">
        <v>0</v>
      </c>
    </row>
    <row r="26" spans="1:5" x14ac:dyDescent="0.2">
      <c r="A26" s="179" t="s">
        <v>1853</v>
      </c>
      <c r="B26" s="219"/>
      <c r="C26" s="219"/>
      <c r="D26" s="220">
        <v>1891458</v>
      </c>
      <c r="E26" s="220"/>
    </row>
    <row r="27" spans="1:5" x14ac:dyDescent="0.2">
      <c r="A27" s="179" t="s">
        <v>82</v>
      </c>
      <c r="B27" s="219"/>
      <c r="C27" s="29"/>
      <c r="D27" s="29"/>
      <c r="E27" s="29"/>
    </row>
    <row r="28" spans="1:5" x14ac:dyDescent="0.2">
      <c r="A28" s="179" t="s">
        <v>83</v>
      </c>
      <c r="B28" s="219"/>
      <c r="C28" s="29"/>
      <c r="D28" s="29"/>
      <c r="E28" s="29"/>
    </row>
    <row r="29" spans="1:5" ht="21.75" customHeight="1" x14ac:dyDescent="0.2">
      <c r="A29" s="61" t="s">
        <v>84</v>
      </c>
      <c r="B29" s="219"/>
      <c r="C29" s="29"/>
      <c r="D29" s="29"/>
      <c r="E29" s="29"/>
    </row>
    <row r="30" spans="1:5" x14ac:dyDescent="0.2">
      <c r="A30" s="179" t="s">
        <v>85</v>
      </c>
      <c r="B30" s="219"/>
      <c r="C30" s="29"/>
      <c r="D30" s="29"/>
      <c r="E30" s="29"/>
    </row>
    <row r="31" spans="1:5" ht="25.5" customHeight="1" x14ac:dyDescent="0.2">
      <c r="A31" s="61" t="s">
        <v>86</v>
      </c>
      <c r="B31" s="219"/>
      <c r="C31" s="29"/>
      <c r="D31" s="29"/>
      <c r="E31" s="29"/>
    </row>
    <row r="32" spans="1:5" ht="21.75" customHeight="1" x14ac:dyDescent="0.2">
      <c r="A32" s="61" t="s">
        <v>87</v>
      </c>
      <c r="B32" s="219"/>
      <c r="C32" s="29"/>
      <c r="D32" s="29"/>
      <c r="E32" s="29"/>
    </row>
    <row r="33" spans="1:5" ht="36" customHeight="1" x14ac:dyDescent="0.2">
      <c r="A33" s="61" t="s">
        <v>88</v>
      </c>
      <c r="B33" s="219"/>
      <c r="C33" s="29"/>
      <c r="D33" s="29"/>
      <c r="E33" s="29"/>
    </row>
    <row r="34" spans="1:5" ht="21.75" customHeight="1" x14ac:dyDescent="0.2">
      <c r="A34" s="61" t="s">
        <v>89</v>
      </c>
      <c r="B34" s="219"/>
      <c r="C34" s="29"/>
      <c r="D34" s="29"/>
      <c r="E34" s="29"/>
    </row>
    <row r="35" spans="1:5" ht="22.5" customHeight="1" x14ac:dyDescent="0.2">
      <c r="A35" s="61" t="s">
        <v>90</v>
      </c>
      <c r="B35" s="219"/>
      <c r="C35" s="29"/>
      <c r="D35" s="29"/>
      <c r="E35" s="29"/>
    </row>
    <row r="36" spans="1:5" ht="18" customHeight="1" x14ac:dyDescent="0.2">
      <c r="A36" s="63" t="s">
        <v>93</v>
      </c>
      <c r="B36" s="184">
        <f>SUM(B25:B35)</f>
        <v>1200000</v>
      </c>
      <c r="C36" s="184">
        <f>SUM(C25:C35)</f>
        <v>646567</v>
      </c>
      <c r="D36" s="184">
        <f>SUM(D25:D35)</f>
        <v>1891458</v>
      </c>
      <c r="E36" s="184">
        <f>SUM(E25:E35)</f>
        <v>0</v>
      </c>
    </row>
    <row r="37" spans="1:5" ht="10.5" customHeight="1" x14ac:dyDescent="0.2">
      <c r="A37" s="64"/>
      <c r="B37" s="177"/>
    </row>
    <row r="38" spans="1:5" x14ac:dyDescent="0.2">
      <c r="A38" s="917" t="s">
        <v>92</v>
      </c>
      <c r="B38" s="917"/>
    </row>
    <row r="39" spans="1:5" x14ac:dyDescent="0.2">
      <c r="A39" s="65"/>
      <c r="B39" s="65"/>
    </row>
    <row r="40" spans="1:5" x14ac:dyDescent="0.2">
      <c r="C40" s="497"/>
      <c r="D40" s="544" t="s">
        <v>142</v>
      </c>
    </row>
    <row r="41" spans="1:5" x14ac:dyDescent="0.2">
      <c r="A41" s="862" t="s">
        <v>66</v>
      </c>
      <c r="B41" s="862"/>
      <c r="C41" s="862"/>
      <c r="D41" s="862"/>
      <c r="E41" s="107"/>
    </row>
    <row r="42" spans="1:5" ht="14.25" customHeight="1" x14ac:dyDescent="0.2">
      <c r="A42" s="916" t="s">
        <v>97</v>
      </c>
      <c r="B42" s="916"/>
      <c r="C42" s="916"/>
      <c r="D42" s="916"/>
    </row>
    <row r="43" spans="1:5" x14ac:dyDescent="0.2">
      <c r="B43" s="185"/>
      <c r="D43" s="497" t="s">
        <v>98</v>
      </c>
    </row>
    <row r="44" spans="1:5" ht="33.75" x14ac:dyDescent="0.2">
      <c r="A44" s="8" t="s">
        <v>99</v>
      </c>
      <c r="B44" s="60" t="s">
        <v>557</v>
      </c>
      <c r="C44" s="60" t="s">
        <v>1307</v>
      </c>
      <c r="D44" s="60" t="s">
        <v>1316</v>
      </c>
    </row>
    <row r="45" spans="1:5" s="108" customFormat="1" ht="11.25" x14ac:dyDescent="0.2">
      <c r="A45" s="603" t="s">
        <v>482</v>
      </c>
      <c r="B45" s="219">
        <v>100</v>
      </c>
      <c r="C45" s="219">
        <v>0</v>
      </c>
      <c r="D45" s="219">
        <v>0</v>
      </c>
    </row>
    <row r="46" spans="1:5" s="108" customFormat="1" ht="11.25" x14ac:dyDescent="0.2">
      <c r="A46" s="602" t="s">
        <v>1727</v>
      </c>
      <c r="B46" s="219">
        <v>150</v>
      </c>
      <c r="C46" s="219">
        <v>130</v>
      </c>
      <c r="D46" s="219">
        <v>0</v>
      </c>
    </row>
    <row r="47" spans="1:5" s="108" customFormat="1" ht="11.25" x14ac:dyDescent="0.2">
      <c r="A47" s="29" t="s">
        <v>1726</v>
      </c>
      <c r="B47" s="29"/>
      <c r="C47" s="104">
        <v>150</v>
      </c>
      <c r="D47" s="29">
        <v>0</v>
      </c>
    </row>
    <row r="48" spans="1:5" x14ac:dyDescent="0.2">
      <c r="A48" s="172" t="s">
        <v>42</v>
      </c>
      <c r="B48" s="184">
        <f>SUM(B45:B47)</f>
        <v>250</v>
      </c>
      <c r="C48" s="184">
        <f>SUM(C45:C47)</f>
        <v>280</v>
      </c>
      <c r="D48" s="184">
        <f>SUM(D45:D47)</f>
        <v>0</v>
      </c>
    </row>
  </sheetData>
  <mergeCells count="9">
    <mergeCell ref="A2:E2"/>
    <mergeCell ref="A3:E3"/>
    <mergeCell ref="A21:E21"/>
    <mergeCell ref="A22:E22"/>
    <mergeCell ref="A42:D42"/>
    <mergeCell ref="A41:D41"/>
    <mergeCell ref="A38:B38"/>
    <mergeCell ref="A19:B19"/>
    <mergeCell ref="A17:E17"/>
  </mergeCells>
  <printOptions horizontalCentered="1"/>
  <pageMargins left="0.43307086614173229" right="0.15748031496062992" top="0.59055118110236227" bottom="0.31496062992125984" header="0.27559055118110237" footer="0.19685039370078741"/>
  <pageSetup paperSize="9" scale="90" orientation="portrait" r:id="rId1"/>
  <headerFooter alignWithMargins="0">
    <oddHeader>&amp;LVeresegyház Város Önkormányzat</oddHeader>
  </headerFooter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7"/>
  <sheetViews>
    <sheetView topLeftCell="A4" workbookViewId="0">
      <selection activeCell="S7" sqref="S7"/>
    </sheetView>
  </sheetViews>
  <sheetFormatPr defaultRowHeight="12.75" outlineLevelCol="1" x14ac:dyDescent="0.2"/>
  <cols>
    <col min="1" max="1" width="19.7109375" style="105" customWidth="1"/>
    <col min="2" max="14" width="11.28515625" style="105" customWidth="1"/>
    <col min="15" max="18" width="11.28515625" style="105" hidden="1" customWidth="1" outlineLevel="1"/>
    <col min="19" max="19" width="11.28515625" style="105" customWidth="1" collapsed="1"/>
    <col min="20" max="20" width="10.140625" style="105" bestFit="1" customWidth="1"/>
    <col min="21" max="16384" width="9.140625" style="105"/>
  </cols>
  <sheetData>
    <row r="1" spans="1:20" x14ac:dyDescent="0.2">
      <c r="Q1" s="865" t="s">
        <v>143</v>
      </c>
      <c r="R1" s="865"/>
      <c r="S1" s="865"/>
    </row>
    <row r="3" spans="1:20" x14ac:dyDescent="0.2">
      <c r="A3" s="862" t="s">
        <v>127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862"/>
      <c r="P3" s="862"/>
      <c r="Q3" s="862"/>
      <c r="R3" s="862"/>
      <c r="S3" s="862"/>
    </row>
    <row r="4" spans="1:20" x14ac:dyDescent="0.2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</row>
    <row r="5" spans="1:20" x14ac:dyDescent="0.2">
      <c r="Q5" s="865" t="s">
        <v>71</v>
      </c>
      <c r="R5" s="865"/>
      <c r="S5" s="865"/>
    </row>
    <row r="6" spans="1:20" ht="45" x14ac:dyDescent="0.2">
      <c r="A6" s="100" t="s">
        <v>114</v>
      </c>
      <c r="B6" s="101" t="s">
        <v>563</v>
      </c>
      <c r="C6" s="101" t="s">
        <v>1308</v>
      </c>
      <c r="D6" s="101" t="s">
        <v>1312</v>
      </c>
      <c r="E6" s="119" t="s">
        <v>103</v>
      </c>
      <c r="F6" s="119" t="s">
        <v>104</v>
      </c>
      <c r="G6" s="119" t="s">
        <v>52</v>
      </c>
      <c r="H6" s="119" t="s">
        <v>106</v>
      </c>
      <c r="I6" s="119" t="s">
        <v>107</v>
      </c>
      <c r="J6" s="119" t="s">
        <v>108</v>
      </c>
      <c r="K6" s="119" t="s">
        <v>109</v>
      </c>
      <c r="L6" s="119" t="s">
        <v>110</v>
      </c>
      <c r="M6" s="119" t="s">
        <v>111</v>
      </c>
      <c r="N6" s="119" t="s">
        <v>105</v>
      </c>
      <c r="O6" s="119" t="s">
        <v>112</v>
      </c>
      <c r="P6" s="119" t="s">
        <v>113</v>
      </c>
      <c r="Q6" s="98" t="s">
        <v>131</v>
      </c>
      <c r="R6" s="98" t="s">
        <v>134</v>
      </c>
      <c r="S6" s="119" t="s">
        <v>17</v>
      </c>
    </row>
    <row r="7" spans="1:20" x14ac:dyDescent="0.2">
      <c r="A7" s="29" t="s">
        <v>115</v>
      </c>
      <c r="B7" s="25">
        <v>3769300</v>
      </c>
      <c r="C7" s="25">
        <v>4032904</v>
      </c>
      <c r="D7" s="25">
        <v>3371656</v>
      </c>
      <c r="E7" s="25">
        <v>3800000</v>
      </c>
      <c r="F7" s="25"/>
      <c r="G7" s="25"/>
      <c r="H7" s="25"/>
      <c r="I7" s="25"/>
      <c r="J7" s="25"/>
      <c r="K7" s="25"/>
      <c r="L7" s="25"/>
      <c r="M7" s="25"/>
      <c r="N7" s="25"/>
      <c r="O7" s="159"/>
      <c r="P7" s="159"/>
      <c r="Q7" s="159"/>
      <c r="R7" s="159"/>
      <c r="S7" s="25">
        <f>SUM(D7:R7)</f>
        <v>7171656</v>
      </c>
      <c r="T7" s="117"/>
    </row>
    <row r="8" spans="1:20" ht="22.5" x14ac:dyDescent="0.2">
      <c r="A8" s="15" t="s">
        <v>116</v>
      </c>
      <c r="B8" s="25">
        <v>70319</v>
      </c>
      <c r="C8" s="25">
        <v>172204</v>
      </c>
      <c r="D8" s="25">
        <v>146275</v>
      </c>
      <c r="E8" s="25">
        <v>72000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159"/>
      <c r="Q8" s="159"/>
      <c r="R8" s="159"/>
      <c r="S8" s="25">
        <f t="shared" ref="S8:S16" si="0">SUM(D8:R8)</f>
        <v>218275</v>
      </c>
      <c r="T8" s="117"/>
    </row>
    <row r="9" spans="1:20" ht="56.25" x14ac:dyDescent="0.2">
      <c r="A9" s="15" t="s">
        <v>126</v>
      </c>
      <c r="B9" s="25">
        <v>350000</v>
      </c>
      <c r="C9" s="25">
        <v>410321</v>
      </c>
      <c r="D9" s="25">
        <v>302201</v>
      </c>
      <c r="E9" s="25">
        <v>186378</v>
      </c>
      <c r="F9" s="25"/>
      <c r="G9" s="25"/>
      <c r="H9" s="25"/>
      <c r="I9" s="25"/>
      <c r="J9" s="25"/>
      <c r="K9" s="25"/>
      <c r="L9" s="25"/>
      <c r="M9" s="25"/>
      <c r="N9" s="159"/>
      <c r="O9" s="159"/>
      <c r="P9" s="159"/>
      <c r="Q9" s="159"/>
      <c r="R9" s="159"/>
      <c r="S9" s="25">
        <f t="shared" si="0"/>
        <v>488579</v>
      </c>
      <c r="T9" s="117"/>
    </row>
    <row r="10" spans="1:20" ht="22.5" x14ac:dyDescent="0.2">
      <c r="A10" s="15" t="s">
        <v>78</v>
      </c>
      <c r="B10" s="25">
        <v>15000</v>
      </c>
      <c r="C10" s="25">
        <v>27987</v>
      </c>
      <c r="D10" s="25">
        <v>11808</v>
      </c>
      <c r="E10" s="25">
        <v>15000</v>
      </c>
      <c r="F10" s="25"/>
      <c r="G10" s="25"/>
      <c r="H10" s="25"/>
      <c r="I10" s="25"/>
      <c r="J10" s="25"/>
      <c r="K10" s="25"/>
      <c r="L10" s="25"/>
      <c r="M10" s="25"/>
      <c r="N10" s="25"/>
      <c r="O10" s="159"/>
      <c r="P10" s="159"/>
      <c r="Q10" s="159"/>
      <c r="R10" s="159"/>
      <c r="S10" s="25">
        <f t="shared" si="0"/>
        <v>26808</v>
      </c>
      <c r="T10" s="117"/>
    </row>
    <row r="11" spans="1:20" ht="22.5" x14ac:dyDescent="0.2">
      <c r="A11" s="15" t="s">
        <v>117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159"/>
      <c r="O11" s="159"/>
      <c r="P11" s="159"/>
      <c r="Q11" s="159"/>
      <c r="R11" s="159"/>
      <c r="S11" s="25">
        <f t="shared" si="0"/>
        <v>0</v>
      </c>
      <c r="T11" s="117"/>
    </row>
    <row r="12" spans="1:20" ht="22.5" x14ac:dyDescent="0.2">
      <c r="A12" s="17" t="s">
        <v>118</v>
      </c>
      <c r="B12" s="51">
        <f>SUM(B7:B11)</f>
        <v>4204619</v>
      </c>
      <c r="C12" s="51">
        <f>SUM(C7:C11)</f>
        <v>4643416</v>
      </c>
      <c r="D12" s="51">
        <f>SUM(D7:D11)</f>
        <v>3831940</v>
      </c>
      <c r="E12" s="51">
        <f t="shared" ref="E12:R12" si="1">SUM(E7:E11)</f>
        <v>4073378</v>
      </c>
      <c r="F12" s="51">
        <f t="shared" si="1"/>
        <v>0</v>
      </c>
      <c r="G12" s="51">
        <f t="shared" si="1"/>
        <v>0</v>
      </c>
      <c r="H12" s="51">
        <f t="shared" si="1"/>
        <v>0</v>
      </c>
      <c r="I12" s="51">
        <f t="shared" si="1"/>
        <v>0</v>
      </c>
      <c r="J12" s="51">
        <f t="shared" si="1"/>
        <v>0</v>
      </c>
      <c r="K12" s="51">
        <f t="shared" si="1"/>
        <v>0</v>
      </c>
      <c r="L12" s="51">
        <f t="shared" si="1"/>
        <v>0</v>
      </c>
      <c r="M12" s="51">
        <f t="shared" si="1"/>
        <v>0</v>
      </c>
      <c r="N12" s="51">
        <f t="shared" si="1"/>
        <v>0</v>
      </c>
      <c r="O12" s="51">
        <f t="shared" si="1"/>
        <v>0</v>
      </c>
      <c r="P12" s="51">
        <f t="shared" si="1"/>
        <v>0</v>
      </c>
      <c r="Q12" s="51">
        <f t="shared" si="1"/>
        <v>0</v>
      </c>
      <c r="R12" s="51">
        <f t="shared" si="1"/>
        <v>0</v>
      </c>
      <c r="S12" s="51">
        <f t="shared" si="0"/>
        <v>7905318</v>
      </c>
      <c r="T12" s="117"/>
    </row>
    <row r="13" spans="1:20" ht="33.75" x14ac:dyDescent="0.2">
      <c r="A13" s="15" t="s">
        <v>119</v>
      </c>
      <c r="B13" s="25">
        <v>402113</v>
      </c>
      <c r="C13" s="102">
        <v>2570017</v>
      </c>
      <c r="D13" s="102">
        <v>678559</v>
      </c>
      <c r="E13" s="25">
        <v>1891458</v>
      </c>
      <c r="F13" s="25">
        <f t="shared" ref="F13:N13" si="2">SUM(F14:F15)</f>
        <v>0</v>
      </c>
      <c r="G13" s="25">
        <f t="shared" si="2"/>
        <v>0</v>
      </c>
      <c r="H13" s="25">
        <f t="shared" si="2"/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159"/>
      <c r="P13" s="159"/>
      <c r="Q13" s="159"/>
      <c r="R13" s="159"/>
      <c r="S13" s="25">
        <f t="shared" si="0"/>
        <v>2570017</v>
      </c>
      <c r="T13" s="117"/>
    </row>
    <row r="14" spans="1:20" x14ac:dyDescent="0.2">
      <c r="A14" s="66" t="s">
        <v>1134</v>
      </c>
      <c r="B14" s="25"/>
      <c r="C14" s="102"/>
      <c r="D14" s="102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59"/>
      <c r="P14" s="159"/>
      <c r="Q14" s="159"/>
      <c r="R14" s="159"/>
      <c r="S14" s="25">
        <f t="shared" si="0"/>
        <v>0</v>
      </c>
      <c r="T14" s="117"/>
    </row>
    <row r="15" spans="1:20" x14ac:dyDescent="0.2">
      <c r="A15" s="66" t="s">
        <v>1135</v>
      </c>
      <c r="B15" s="25"/>
      <c r="C15" s="102"/>
      <c r="D15" s="102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159"/>
      <c r="P15" s="159"/>
      <c r="Q15" s="159"/>
      <c r="R15" s="159"/>
      <c r="S15" s="25">
        <f t="shared" si="0"/>
        <v>0</v>
      </c>
      <c r="T15" s="117"/>
    </row>
    <row r="16" spans="1:20" ht="22.5" x14ac:dyDescent="0.2">
      <c r="A16" s="15" t="s">
        <v>120</v>
      </c>
      <c r="B16" s="25">
        <v>34454</v>
      </c>
      <c r="C16" s="25">
        <v>35454</v>
      </c>
      <c r="D16" s="25">
        <v>35454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159"/>
      <c r="P16" s="159"/>
      <c r="Q16" s="159"/>
      <c r="R16" s="159"/>
      <c r="S16" s="25">
        <f t="shared" si="0"/>
        <v>35454</v>
      </c>
      <c r="T16" s="117"/>
    </row>
    <row r="17" spans="1:20" x14ac:dyDescent="0.2">
      <c r="A17" s="15" t="s">
        <v>121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159"/>
      <c r="O17" s="159"/>
      <c r="P17" s="159"/>
      <c r="Q17" s="159"/>
      <c r="R17" s="159"/>
      <c r="S17" s="25"/>
      <c r="T17" s="117"/>
    </row>
    <row r="18" spans="1:20" ht="22.5" x14ac:dyDescent="0.2">
      <c r="A18" s="15" t="s">
        <v>122</v>
      </c>
      <c r="B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159"/>
      <c r="O18" s="159"/>
      <c r="P18" s="159"/>
      <c r="Q18" s="159"/>
      <c r="R18" s="159"/>
      <c r="S18" s="159"/>
      <c r="T18" s="117"/>
    </row>
    <row r="19" spans="1:20" ht="45" x14ac:dyDescent="0.2">
      <c r="A19" s="15" t="s">
        <v>129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159"/>
      <c r="O19" s="159"/>
      <c r="P19" s="159"/>
      <c r="Q19" s="159"/>
      <c r="R19" s="159"/>
      <c r="S19" s="159"/>
    </row>
    <row r="20" spans="1:20" ht="45" x14ac:dyDescent="0.2">
      <c r="A20" s="15" t="s">
        <v>123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159"/>
      <c r="O20" s="159"/>
      <c r="P20" s="159"/>
      <c r="Q20" s="159"/>
      <c r="R20" s="159"/>
      <c r="S20" s="159"/>
    </row>
    <row r="21" spans="1:20" ht="24.75" customHeight="1" x14ac:dyDescent="0.2">
      <c r="A21" s="15" t="s">
        <v>125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159"/>
      <c r="O21" s="159"/>
      <c r="P21" s="159"/>
      <c r="Q21" s="159"/>
      <c r="R21" s="159"/>
      <c r="S21" s="159"/>
    </row>
    <row r="22" spans="1:20" ht="22.5" customHeight="1" x14ac:dyDescent="0.2">
      <c r="A22" s="17" t="s">
        <v>124</v>
      </c>
      <c r="B22" s="51">
        <f>+B13+B16+B17+B18+B19+B20+B21</f>
        <v>436567</v>
      </c>
      <c r="C22" s="51">
        <f t="shared" ref="C22:N22" si="3">+C13+C16+C17+C18+C19+C20+C21</f>
        <v>2605471</v>
      </c>
      <c r="D22" s="51">
        <f t="shared" si="3"/>
        <v>714013</v>
      </c>
      <c r="E22" s="51">
        <f t="shared" si="3"/>
        <v>1891458</v>
      </c>
      <c r="F22" s="51">
        <f t="shared" si="3"/>
        <v>0</v>
      </c>
      <c r="G22" s="51">
        <f t="shared" si="3"/>
        <v>0</v>
      </c>
      <c r="H22" s="51">
        <f t="shared" si="3"/>
        <v>0</v>
      </c>
      <c r="I22" s="51">
        <f t="shared" si="3"/>
        <v>0</v>
      </c>
      <c r="J22" s="51">
        <f t="shared" si="3"/>
        <v>0</v>
      </c>
      <c r="K22" s="51">
        <f t="shared" si="3"/>
        <v>0</v>
      </c>
      <c r="L22" s="51">
        <f t="shared" si="3"/>
        <v>0</v>
      </c>
      <c r="M22" s="51">
        <f t="shared" si="3"/>
        <v>0</v>
      </c>
      <c r="N22" s="51">
        <f t="shared" si="3"/>
        <v>0</v>
      </c>
      <c r="O22" s="51">
        <f t="shared" ref="O22" si="4">+O13+O16+O17+O18+O19+O20+O21</f>
        <v>0</v>
      </c>
      <c r="P22" s="51">
        <f t="shared" ref="P22" si="5">+P13+P16+P17+P18+P19+P20+P21</f>
        <v>0</v>
      </c>
      <c r="Q22" s="51">
        <f t="shared" ref="Q22" si="6">+Q13+Q16+Q17+Q18+Q19+Q20+Q21</f>
        <v>0</v>
      </c>
      <c r="R22" s="51">
        <f t="shared" ref="R22" si="7">+R13+R16+R17+R18+R19+R20+R21</f>
        <v>0</v>
      </c>
      <c r="S22" s="51">
        <f t="shared" ref="S22" si="8">+S13+S16+S17+S18+S19+S20+S21</f>
        <v>2605471</v>
      </c>
    </row>
    <row r="23" spans="1:20" ht="22.5" customHeight="1" x14ac:dyDescent="0.2">
      <c r="A23" s="17" t="s">
        <v>496</v>
      </c>
      <c r="B23" s="51">
        <f>+B12*0.5</f>
        <v>2102309.5</v>
      </c>
      <c r="C23" s="51">
        <f t="shared" ref="C23:S23" si="9">+C12*0.5</f>
        <v>2321708</v>
      </c>
      <c r="D23" s="51">
        <f t="shared" si="9"/>
        <v>1915970</v>
      </c>
      <c r="E23" s="51">
        <f t="shared" si="9"/>
        <v>2036689</v>
      </c>
      <c r="F23" s="51">
        <f t="shared" si="9"/>
        <v>0</v>
      </c>
      <c r="G23" s="51">
        <f t="shared" si="9"/>
        <v>0</v>
      </c>
      <c r="H23" s="51">
        <f t="shared" si="9"/>
        <v>0</v>
      </c>
      <c r="I23" s="51">
        <f t="shared" si="9"/>
        <v>0</v>
      </c>
      <c r="J23" s="51">
        <f t="shared" si="9"/>
        <v>0</v>
      </c>
      <c r="K23" s="51">
        <f t="shared" si="9"/>
        <v>0</v>
      </c>
      <c r="L23" s="51">
        <f t="shared" si="9"/>
        <v>0</v>
      </c>
      <c r="M23" s="51">
        <f t="shared" si="9"/>
        <v>0</v>
      </c>
      <c r="N23" s="51">
        <f t="shared" si="9"/>
        <v>0</v>
      </c>
      <c r="O23" s="51">
        <f t="shared" si="9"/>
        <v>0</v>
      </c>
      <c r="P23" s="51">
        <f t="shared" si="9"/>
        <v>0</v>
      </c>
      <c r="Q23" s="51">
        <f t="shared" si="9"/>
        <v>0</v>
      </c>
      <c r="R23" s="51">
        <f t="shared" si="9"/>
        <v>0</v>
      </c>
      <c r="S23" s="51">
        <f t="shared" si="9"/>
        <v>3952659</v>
      </c>
    </row>
    <row r="24" spans="1:20" ht="22.5" customHeight="1" x14ac:dyDescent="0.2">
      <c r="A24" s="919" t="s">
        <v>128</v>
      </c>
      <c r="B24" s="919"/>
      <c r="C24" s="919"/>
      <c r="D24" s="919"/>
      <c r="E24" s="919"/>
      <c r="F24" s="919"/>
      <c r="G24" s="919"/>
      <c r="H24" s="919"/>
      <c r="I24" s="919"/>
      <c r="J24" s="919"/>
      <c r="K24" s="919"/>
      <c r="L24" s="919"/>
      <c r="M24" s="919"/>
      <c r="N24" s="919"/>
      <c r="O24" s="919"/>
      <c r="P24" s="919"/>
      <c r="Q24" s="919"/>
      <c r="R24" s="919"/>
      <c r="S24" s="919"/>
    </row>
    <row r="25" spans="1:20" x14ac:dyDescent="0.2">
      <c r="A25" s="16"/>
      <c r="B25" s="111">
        <f>+B22-B23</f>
        <v>-1665742.5</v>
      </c>
      <c r="C25" s="111">
        <f t="shared" ref="C25:D25" si="10">+C22-C23</f>
        <v>283763</v>
      </c>
      <c r="D25" s="111">
        <f t="shared" si="10"/>
        <v>-1201957</v>
      </c>
      <c r="E25" s="111">
        <f t="shared" ref="E25:R25" si="11">+E22-E23</f>
        <v>-145231</v>
      </c>
      <c r="F25" s="111">
        <f t="shared" si="11"/>
        <v>0</v>
      </c>
      <c r="G25" s="111">
        <f t="shared" si="11"/>
        <v>0</v>
      </c>
      <c r="H25" s="111">
        <f t="shared" si="11"/>
        <v>0</v>
      </c>
      <c r="I25" s="111">
        <f t="shared" si="11"/>
        <v>0</v>
      </c>
      <c r="J25" s="111">
        <f t="shared" si="11"/>
        <v>0</v>
      </c>
      <c r="K25" s="111">
        <f t="shared" si="11"/>
        <v>0</v>
      </c>
      <c r="L25" s="111">
        <f t="shared" si="11"/>
        <v>0</v>
      </c>
      <c r="M25" s="111">
        <f t="shared" si="11"/>
        <v>0</v>
      </c>
      <c r="N25" s="111">
        <f t="shared" si="11"/>
        <v>0</v>
      </c>
      <c r="O25" s="111">
        <f t="shared" si="11"/>
        <v>0</v>
      </c>
      <c r="P25" s="111">
        <f t="shared" si="11"/>
        <v>0</v>
      </c>
      <c r="Q25" s="111">
        <f t="shared" si="11"/>
        <v>0</v>
      </c>
      <c r="R25" s="111">
        <f t="shared" si="11"/>
        <v>0</v>
      </c>
      <c r="S25" s="111">
        <f>+S22-S23</f>
        <v>-1347188</v>
      </c>
    </row>
    <row r="26" spans="1:20" ht="14.25" customHeight="1" x14ac:dyDescent="0.2"/>
    <row r="27" spans="1:20" x14ac:dyDescent="0.2">
      <c r="A27" s="16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</row>
    <row r="28" spans="1:20" x14ac:dyDescent="0.2">
      <c r="A28" s="16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</row>
    <row r="29" spans="1:20" x14ac:dyDescent="0.2">
      <c r="A29" s="16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</row>
    <row r="30" spans="1:20" x14ac:dyDescent="0.2">
      <c r="A30" s="16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</row>
    <row r="31" spans="1:20" x14ac:dyDescent="0.2">
      <c r="A31" s="16"/>
      <c r="B31" s="111"/>
      <c r="C31" s="111"/>
      <c r="D31" s="111"/>
      <c r="E31" s="111"/>
      <c r="F31" s="167"/>
      <c r="G31" s="111"/>
      <c r="H31" s="111"/>
      <c r="I31" s="111"/>
      <c r="J31" s="111"/>
      <c r="K31" s="111"/>
      <c r="L31" s="111"/>
      <c r="M31" s="111"/>
    </row>
    <row r="32" spans="1:20" x14ac:dyDescent="0.2">
      <c r="A32" s="16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</row>
    <row r="33" spans="1:13" x14ac:dyDescent="0.2">
      <c r="A33" s="108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</row>
    <row r="34" spans="1:13" x14ac:dyDescent="0.2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</row>
    <row r="35" spans="1:13" x14ac:dyDescent="0.2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</row>
    <row r="36" spans="1:13" x14ac:dyDescent="0.2"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</row>
    <row r="37" spans="1:13" x14ac:dyDescent="0.2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</row>
  </sheetData>
  <mergeCells count="4">
    <mergeCell ref="A3:S3"/>
    <mergeCell ref="Q5:S5"/>
    <mergeCell ref="Q1:S1"/>
    <mergeCell ref="A24:S24"/>
  </mergeCells>
  <phoneticPr fontId="0" type="noConversion"/>
  <printOptions horizontalCentered="1"/>
  <pageMargins left="0.43307086614173229" right="0.15748031496062992" top="0.51181102362204722" bottom="0.31496062992125984" header="0.27559055118110237" footer="0.19685039370078741"/>
  <pageSetup paperSize="9" scale="75" orientation="landscape" r:id="rId1"/>
  <headerFooter alignWithMargins="0">
    <oddHeader>&amp;LVeresegyház Város Önkormányzat</oddHeader>
  </headerFooter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60"/>
  <sheetViews>
    <sheetView topLeftCell="I1" workbookViewId="0">
      <selection activeCell="AD47" sqref="AD47"/>
    </sheetView>
  </sheetViews>
  <sheetFormatPr defaultRowHeight="12.75" outlineLevelCol="1" x14ac:dyDescent="0.2"/>
  <cols>
    <col min="1" max="1" width="9" style="627" customWidth="1"/>
    <col min="2" max="2" width="8.7109375" style="627" customWidth="1"/>
    <col min="3" max="3" width="9.28515625" style="627" customWidth="1"/>
    <col min="4" max="4" width="9" style="627" customWidth="1"/>
    <col min="5" max="5" width="10" style="627" customWidth="1"/>
    <col min="6" max="6" width="9.7109375" style="627" customWidth="1"/>
    <col min="7" max="7" width="10.140625" style="627" customWidth="1"/>
    <col min="8" max="8" width="8.5703125" style="627" bestFit="1" customWidth="1"/>
    <col min="9" max="9" width="10.28515625" style="627" customWidth="1"/>
    <col min="10" max="10" width="10" style="627" customWidth="1"/>
    <col min="11" max="11" width="8.28515625" style="627" customWidth="1"/>
    <col min="12" max="12" width="8.85546875" style="627" customWidth="1"/>
    <col min="13" max="13" width="9" style="627" customWidth="1"/>
    <col min="14" max="14" width="8.5703125" style="627" customWidth="1"/>
    <col min="15" max="16" width="9" style="627" customWidth="1"/>
    <col min="17" max="17" width="8.5703125" style="627" bestFit="1" customWidth="1"/>
    <col min="18" max="18" width="10" style="627" bestFit="1" customWidth="1"/>
    <col min="19" max="19" width="9.140625" style="627" customWidth="1"/>
    <col min="20" max="20" width="10.140625" style="627" customWidth="1"/>
    <col min="21" max="21" width="10" style="627" bestFit="1" customWidth="1"/>
    <col min="22" max="22" width="8.85546875" style="627" customWidth="1"/>
    <col min="23" max="23" width="10.5703125" style="627" bestFit="1" customWidth="1"/>
    <col min="24" max="24" width="8.7109375" style="627" customWidth="1"/>
    <col min="25" max="26" width="9" style="627" customWidth="1"/>
    <col min="27" max="27" width="8.42578125" style="627" customWidth="1"/>
    <col min="28" max="29" width="8.85546875" style="627" customWidth="1"/>
    <col min="30" max="30" width="9.140625" style="627"/>
    <col min="31" max="36" width="9.140625" style="627" hidden="1" customWidth="1" outlineLevel="1"/>
    <col min="37" max="38" width="0" style="627" hidden="1" customWidth="1" outlineLevel="1"/>
    <col min="39" max="39" width="9.140625" style="627" collapsed="1"/>
    <col min="40" max="16384" width="9.140625" style="627"/>
  </cols>
  <sheetData>
    <row r="1" spans="1:36" ht="20.25" customHeight="1" x14ac:dyDescent="0.2">
      <c r="AC1" s="628" t="s">
        <v>144</v>
      </c>
    </row>
    <row r="4" spans="1:36" ht="15.75" customHeight="1" x14ac:dyDescent="0.2">
      <c r="A4" s="928" t="s">
        <v>132</v>
      </c>
      <c r="B4" s="928"/>
      <c r="C4" s="928"/>
      <c r="D4" s="928"/>
      <c r="E4" s="928"/>
      <c r="F4" s="928"/>
      <c r="G4" s="928"/>
      <c r="H4" s="928"/>
      <c r="I4" s="928"/>
      <c r="J4" s="928"/>
      <c r="K4" s="928"/>
      <c r="L4" s="928"/>
      <c r="M4" s="928"/>
      <c r="N4" s="928"/>
      <c r="O4" s="928"/>
      <c r="P4" s="928"/>
      <c r="Q4" s="928"/>
      <c r="R4" s="928"/>
      <c r="S4" s="928"/>
      <c r="T4" s="928"/>
      <c r="U4" s="928"/>
      <c r="V4" s="928"/>
      <c r="W4" s="928"/>
      <c r="X4" s="928"/>
      <c r="Y4" s="928"/>
      <c r="Z4" s="928"/>
      <c r="AA4" s="928"/>
      <c r="AB4" s="928"/>
      <c r="AC4" s="928"/>
    </row>
    <row r="5" spans="1:36" x14ac:dyDescent="0.2">
      <c r="C5" s="629"/>
    </row>
    <row r="6" spans="1:36" x14ac:dyDescent="0.2">
      <c r="A6" s="630" t="s">
        <v>356</v>
      </c>
      <c r="B6" s="630"/>
      <c r="C6" s="630"/>
      <c r="D6" s="630" t="s">
        <v>1689</v>
      </c>
      <c r="E6" s="630"/>
      <c r="F6" s="630"/>
      <c r="G6" s="630"/>
      <c r="H6" s="630"/>
      <c r="I6" s="630"/>
    </row>
    <row r="7" spans="1:36" ht="12.6" customHeight="1" x14ac:dyDescent="0.2">
      <c r="A7" s="630"/>
      <c r="B7" s="630"/>
      <c r="C7" s="630"/>
      <c r="D7" s="630"/>
      <c r="E7" s="630"/>
      <c r="F7" s="630"/>
      <c r="G7" s="630"/>
      <c r="H7" s="630"/>
      <c r="AC7" s="628" t="s">
        <v>0</v>
      </c>
    </row>
    <row r="8" spans="1:36" x14ac:dyDescent="0.2">
      <c r="A8" s="929" t="s">
        <v>2</v>
      </c>
      <c r="B8" s="941" t="s">
        <v>18</v>
      </c>
      <c r="C8" s="930"/>
      <c r="D8" s="943"/>
      <c r="E8" s="943"/>
      <c r="F8" s="943"/>
      <c r="G8" s="923"/>
      <c r="H8" s="941" t="s">
        <v>1333</v>
      </c>
      <c r="I8" s="930"/>
      <c r="J8" s="943"/>
      <c r="K8" s="943"/>
      <c r="L8" s="943"/>
      <c r="M8" s="923"/>
      <c r="N8" s="941" t="s">
        <v>1334</v>
      </c>
      <c r="O8" s="930"/>
      <c r="P8" s="943"/>
      <c r="Q8" s="943"/>
      <c r="R8" s="943"/>
      <c r="S8" s="923"/>
      <c r="T8" s="941" t="s">
        <v>497</v>
      </c>
      <c r="U8" s="930"/>
      <c r="V8" s="943"/>
      <c r="W8" s="923"/>
      <c r="X8" s="944" t="s">
        <v>17</v>
      </c>
      <c r="Y8" s="945"/>
      <c r="Z8" s="945"/>
      <c r="AA8" s="945"/>
      <c r="AB8" s="946"/>
      <c r="AC8" s="925"/>
    </row>
    <row r="9" spans="1:36" x14ac:dyDescent="0.2">
      <c r="A9" s="929"/>
      <c r="B9" s="941" t="s">
        <v>3</v>
      </c>
      <c r="C9" s="943"/>
      <c r="D9" s="923"/>
      <c r="E9" s="941" t="s">
        <v>4</v>
      </c>
      <c r="F9" s="943" t="s">
        <v>4</v>
      </c>
      <c r="G9" s="923" t="s">
        <v>4</v>
      </c>
      <c r="H9" s="941" t="s">
        <v>20</v>
      </c>
      <c r="I9" s="943" t="s">
        <v>20</v>
      </c>
      <c r="J9" s="923" t="s">
        <v>20</v>
      </c>
      <c r="K9" s="941" t="s">
        <v>21</v>
      </c>
      <c r="L9" s="943" t="s">
        <v>21</v>
      </c>
      <c r="M9" s="923" t="s">
        <v>21</v>
      </c>
      <c r="N9" s="941" t="s">
        <v>20</v>
      </c>
      <c r="O9" s="943" t="s">
        <v>20</v>
      </c>
      <c r="P9" s="923" t="s">
        <v>20</v>
      </c>
      <c r="Q9" s="941" t="s">
        <v>21</v>
      </c>
      <c r="R9" s="943" t="s">
        <v>21</v>
      </c>
      <c r="S9" s="923" t="s">
        <v>21</v>
      </c>
      <c r="T9" s="98" t="s">
        <v>498</v>
      </c>
      <c r="U9" s="941" t="s">
        <v>499</v>
      </c>
      <c r="V9" s="943" t="s">
        <v>499</v>
      </c>
      <c r="W9" s="923" t="s">
        <v>499</v>
      </c>
      <c r="X9" s="941" t="s">
        <v>448</v>
      </c>
      <c r="Y9" s="943"/>
      <c r="Z9" s="923"/>
      <c r="AA9" s="941" t="s">
        <v>4</v>
      </c>
      <c r="AB9" s="943" t="s">
        <v>4</v>
      </c>
      <c r="AC9" s="923" t="s">
        <v>4</v>
      </c>
      <c r="AE9" s="109"/>
      <c r="AF9" s="109"/>
      <c r="AG9" s="109"/>
      <c r="AH9" s="110"/>
    </row>
    <row r="10" spans="1:36" ht="44.25" customHeight="1" x14ac:dyDescent="0.2">
      <c r="A10" s="205"/>
      <c r="B10" s="205" t="s">
        <v>557</v>
      </c>
      <c r="C10" s="205" t="s">
        <v>1304</v>
      </c>
      <c r="D10" s="205" t="s">
        <v>1311</v>
      </c>
      <c r="E10" s="205" t="s">
        <v>557</v>
      </c>
      <c r="F10" s="205" t="s">
        <v>1304</v>
      </c>
      <c r="G10" s="205" t="s">
        <v>1311</v>
      </c>
      <c r="H10" s="205" t="s">
        <v>557</v>
      </c>
      <c r="I10" s="205" t="s">
        <v>1304</v>
      </c>
      <c r="J10" s="205" t="s">
        <v>1311</v>
      </c>
      <c r="K10" s="205" t="s">
        <v>557</v>
      </c>
      <c r="L10" s="205" t="s">
        <v>1304</v>
      </c>
      <c r="M10" s="205" t="s">
        <v>1311</v>
      </c>
      <c r="N10" s="205" t="s">
        <v>557</v>
      </c>
      <c r="O10" s="205" t="s">
        <v>1304</v>
      </c>
      <c r="P10" s="205" t="s">
        <v>1311</v>
      </c>
      <c r="Q10" s="205" t="s">
        <v>557</v>
      </c>
      <c r="R10" s="205" t="s">
        <v>1304</v>
      </c>
      <c r="S10" s="205" t="s">
        <v>1311</v>
      </c>
      <c r="T10" s="98"/>
      <c r="U10" s="205" t="s">
        <v>557</v>
      </c>
      <c r="V10" s="205" t="s">
        <v>1304</v>
      </c>
      <c r="W10" s="205" t="s">
        <v>1311</v>
      </c>
      <c r="X10" s="205" t="s">
        <v>557</v>
      </c>
      <c r="Y10" s="205" t="s">
        <v>1304</v>
      </c>
      <c r="Z10" s="205" t="s">
        <v>1311</v>
      </c>
      <c r="AA10" s="205" t="s">
        <v>557</v>
      </c>
      <c r="AB10" s="205" t="s">
        <v>1304</v>
      </c>
      <c r="AC10" s="205" t="s">
        <v>1311</v>
      </c>
      <c r="AE10" s="631"/>
      <c r="AF10" s="631"/>
      <c r="AG10" s="631"/>
      <c r="AH10" s="631"/>
      <c r="AI10" s="631"/>
      <c r="AJ10" s="631"/>
    </row>
    <row r="11" spans="1:36" x14ac:dyDescent="0.2">
      <c r="A11" s="104" t="s">
        <v>5</v>
      </c>
      <c r="B11" s="102">
        <f>SUM(B35+B80+C80+B99+C99+B118+C118+O80+P80+O99+P99+O118+P118+B143+C143)</f>
        <v>418906</v>
      </c>
      <c r="C11" s="102">
        <f>SUM(C35+E80+F80+E99+F99+E118+F118+E143+F143+R80+S80+R99+S99+R118+S118)</f>
        <v>276130</v>
      </c>
      <c r="D11" s="102">
        <f>SUM(D35+H80+I80+H99+I99+H118+I118+H143+I143+U80+V80+U99+V99+U118+V118)</f>
        <v>272174</v>
      </c>
      <c r="E11" s="102">
        <f>SUM(E35+D80+D99+D118+D143+Q80+Q99+Q118)</f>
        <v>818474</v>
      </c>
      <c r="F11" s="102">
        <f>SUM(F35+G80+G99+G118+G143+T80+T99+T118)</f>
        <v>791530</v>
      </c>
      <c r="G11" s="102">
        <f>SUM(G35+J80+J99+J118+J143+W80+W99+W118)</f>
        <v>788575</v>
      </c>
      <c r="H11" s="102">
        <f>+H35</f>
        <v>180000</v>
      </c>
      <c r="I11" s="102">
        <f>SUM(I35)</f>
        <v>250000</v>
      </c>
      <c r="J11" s="102">
        <v>250000</v>
      </c>
      <c r="K11" s="102">
        <f t="shared" ref="K11:U11" si="0">+K35</f>
        <v>0</v>
      </c>
      <c r="L11" s="102">
        <f>SUM(L35)</f>
        <v>50000</v>
      </c>
      <c r="M11" s="102">
        <v>50000</v>
      </c>
      <c r="N11" s="102">
        <f t="shared" si="0"/>
        <v>150000</v>
      </c>
      <c r="O11" s="102">
        <f>SUM(O35)</f>
        <v>0</v>
      </c>
      <c r="P11" s="102"/>
      <c r="Q11" s="102">
        <f t="shared" si="0"/>
        <v>11555</v>
      </c>
      <c r="R11" s="102">
        <f>SUM(R35)</f>
        <v>0</v>
      </c>
      <c r="S11" s="102">
        <v>2114</v>
      </c>
      <c r="T11" s="102">
        <f t="shared" si="0"/>
        <v>0</v>
      </c>
      <c r="U11" s="102">
        <f t="shared" si="0"/>
        <v>44897</v>
      </c>
      <c r="V11" s="102">
        <f>SUM(V35)</f>
        <v>0</v>
      </c>
      <c r="W11" s="102"/>
      <c r="X11" s="102">
        <f t="shared" ref="X11:X22" si="1">+B11+H11+N11+T11</f>
        <v>748906</v>
      </c>
      <c r="Y11" s="102">
        <f>+O11+C11+I11</f>
        <v>526130</v>
      </c>
      <c r="Z11" s="102">
        <f>+P11+D11+J11</f>
        <v>522174</v>
      </c>
      <c r="AA11" s="102">
        <f>+E11+K11+Q11+U11</f>
        <v>874926</v>
      </c>
      <c r="AB11" s="102">
        <f t="shared" ref="AB11:AC22" si="2">+F11+L11+R11+V11</f>
        <v>841530</v>
      </c>
      <c r="AC11" s="102">
        <f t="shared" si="2"/>
        <v>840689</v>
      </c>
      <c r="AF11" s="632"/>
      <c r="AH11" s="632"/>
    </row>
    <row r="12" spans="1:36" x14ac:dyDescent="0.2">
      <c r="A12" s="104" t="s">
        <v>6</v>
      </c>
      <c r="B12" s="102">
        <f t="shared" ref="B12:B22" si="3">SUM(B36+B81+C81+B100+C100+B119+C119+O81+P81+O100+P100+O119+P119+B144+C144)</f>
        <v>419361</v>
      </c>
      <c r="C12" s="102">
        <f t="shared" ref="C12:C22" si="4">SUM(C36+E81+F81+E100+F100+E119+F119+E144+F144+R81+S81+R100+S100+R119+S119)</f>
        <v>612046</v>
      </c>
      <c r="D12" s="102">
        <f t="shared" ref="D12:D22" si="5">SUM(D36+H81+I81+H100+I100+H119+I119+H144+I144+U81+V81+U100+V100+U119+V119)</f>
        <v>611249</v>
      </c>
      <c r="E12" s="102">
        <f t="shared" ref="E12:E22" si="6">SUM(E36+D81+D100+D119+D144+Q81+Q100+Q119)</f>
        <v>513455</v>
      </c>
      <c r="F12" s="102">
        <f t="shared" ref="F12:F22" si="7">SUM(F36+G81+G100+G119+G144+T81+T100+T119)</f>
        <v>436710</v>
      </c>
      <c r="G12" s="102">
        <f t="shared" ref="G12:G22" si="8">SUM(G36+J81+J100+J119+J144+W81+W100+W119)</f>
        <v>435807</v>
      </c>
      <c r="H12" s="102">
        <f t="shared" ref="H12:U22" si="9">+H36</f>
        <v>0</v>
      </c>
      <c r="I12" s="102">
        <f t="shared" ref="I12:I22" si="10">SUM(I36)</f>
        <v>50000</v>
      </c>
      <c r="J12" s="102">
        <v>50000</v>
      </c>
      <c r="K12" s="102">
        <f t="shared" si="9"/>
        <v>0</v>
      </c>
      <c r="L12" s="102">
        <f t="shared" ref="L12:L22" si="11">SUM(L36)</f>
        <v>50000</v>
      </c>
      <c r="M12" s="102">
        <v>189086</v>
      </c>
      <c r="N12" s="102">
        <f t="shared" si="9"/>
        <v>0</v>
      </c>
      <c r="O12" s="102">
        <f t="shared" ref="O12:O22" si="12">SUM(O36)</f>
        <v>0</v>
      </c>
      <c r="P12" s="102"/>
      <c r="Q12" s="102">
        <f t="shared" si="9"/>
        <v>140588</v>
      </c>
      <c r="R12" s="102">
        <f t="shared" ref="R12:R22" si="13">SUM(R36)</f>
        <v>139473</v>
      </c>
      <c r="S12" s="102">
        <v>137359</v>
      </c>
      <c r="T12" s="102">
        <f t="shared" si="9"/>
        <v>0</v>
      </c>
      <c r="U12" s="102">
        <f t="shared" si="9"/>
        <v>0</v>
      </c>
      <c r="V12" s="102">
        <f t="shared" ref="V12:V22" si="14">SUM(V36)</f>
        <v>35454</v>
      </c>
      <c r="W12" s="102">
        <v>35454</v>
      </c>
      <c r="X12" s="102">
        <f t="shared" si="1"/>
        <v>419361</v>
      </c>
      <c r="Y12" s="102">
        <f t="shared" ref="Y12:Z22" si="15">+O12+C12+I12</f>
        <v>662046</v>
      </c>
      <c r="Z12" s="102">
        <f t="shared" si="15"/>
        <v>661249</v>
      </c>
      <c r="AA12" s="102">
        <f t="shared" ref="AA12:AA22" si="16">+E12+K12+Q12+U12</f>
        <v>654043</v>
      </c>
      <c r="AB12" s="102">
        <f t="shared" si="2"/>
        <v>661637</v>
      </c>
      <c r="AC12" s="102">
        <f t="shared" si="2"/>
        <v>797706</v>
      </c>
      <c r="AE12" s="632"/>
      <c r="AF12" s="632"/>
      <c r="AG12" s="632"/>
      <c r="AH12" s="632"/>
      <c r="AI12" s="632"/>
    </row>
    <row r="13" spans="1:36" x14ac:dyDescent="0.2">
      <c r="A13" s="104" t="s">
        <v>7</v>
      </c>
      <c r="B13" s="102">
        <f t="shared" si="3"/>
        <v>2352007</v>
      </c>
      <c r="C13" s="102">
        <f t="shared" si="4"/>
        <v>2376162</v>
      </c>
      <c r="D13" s="102">
        <f t="shared" si="5"/>
        <v>2034616</v>
      </c>
      <c r="E13" s="102">
        <f t="shared" si="6"/>
        <v>719776</v>
      </c>
      <c r="F13" s="102">
        <f t="shared" si="7"/>
        <v>744410</v>
      </c>
      <c r="G13" s="102">
        <f t="shared" si="8"/>
        <v>738389</v>
      </c>
      <c r="H13" s="102">
        <f t="shared" si="9"/>
        <v>0</v>
      </c>
      <c r="I13" s="102">
        <f t="shared" si="10"/>
        <v>0</v>
      </c>
      <c r="J13" s="102"/>
      <c r="K13" s="102">
        <f t="shared" si="9"/>
        <v>0</v>
      </c>
      <c r="L13" s="102">
        <f t="shared" si="11"/>
        <v>200000</v>
      </c>
      <c r="M13" s="102">
        <v>200000</v>
      </c>
      <c r="N13" s="102">
        <f t="shared" si="9"/>
        <v>180000</v>
      </c>
      <c r="O13" s="102">
        <f t="shared" si="12"/>
        <v>0</v>
      </c>
      <c r="P13" s="102">
        <v>300000</v>
      </c>
      <c r="Q13" s="102">
        <f t="shared" si="9"/>
        <v>456772</v>
      </c>
      <c r="R13" s="102">
        <f t="shared" si="13"/>
        <v>400000</v>
      </c>
      <c r="S13" s="102">
        <v>400000</v>
      </c>
      <c r="T13" s="102">
        <f t="shared" si="9"/>
        <v>0</v>
      </c>
      <c r="U13" s="102">
        <f t="shared" si="9"/>
        <v>0</v>
      </c>
      <c r="V13" s="102">
        <f t="shared" si="14"/>
        <v>0</v>
      </c>
      <c r="W13" s="102"/>
      <c r="X13" s="102">
        <f t="shared" si="1"/>
        <v>2532007</v>
      </c>
      <c r="Y13" s="102">
        <f t="shared" si="15"/>
        <v>2376162</v>
      </c>
      <c r="Z13" s="102">
        <f t="shared" si="15"/>
        <v>2334616</v>
      </c>
      <c r="AA13" s="102">
        <f t="shared" si="16"/>
        <v>1176548</v>
      </c>
      <c r="AB13" s="102">
        <f t="shared" si="2"/>
        <v>1344410</v>
      </c>
      <c r="AC13" s="102">
        <f t="shared" si="2"/>
        <v>1338389</v>
      </c>
      <c r="AE13" s="632"/>
      <c r="AF13" s="632"/>
      <c r="AG13" s="632"/>
      <c r="AH13" s="632"/>
      <c r="AI13" s="632"/>
    </row>
    <row r="14" spans="1:36" x14ac:dyDescent="0.2">
      <c r="A14" s="104" t="s">
        <v>8</v>
      </c>
      <c r="B14" s="102">
        <f t="shared" si="3"/>
        <v>423950</v>
      </c>
      <c r="C14" s="102">
        <f t="shared" si="4"/>
        <v>440594</v>
      </c>
      <c r="D14" s="102">
        <f t="shared" si="5"/>
        <v>439725</v>
      </c>
      <c r="E14" s="102">
        <f t="shared" si="6"/>
        <v>712069</v>
      </c>
      <c r="F14" s="102">
        <f t="shared" si="7"/>
        <v>869099</v>
      </c>
      <c r="G14" s="102">
        <f t="shared" si="8"/>
        <v>866101</v>
      </c>
      <c r="H14" s="102">
        <f t="shared" si="9"/>
        <v>0</v>
      </c>
      <c r="I14" s="102">
        <f t="shared" si="10"/>
        <v>0</v>
      </c>
      <c r="J14" s="102"/>
      <c r="K14" s="102">
        <f t="shared" si="9"/>
        <v>0</v>
      </c>
      <c r="L14" s="102">
        <f t="shared" si="11"/>
        <v>0</v>
      </c>
      <c r="M14" s="102"/>
      <c r="N14" s="102">
        <f t="shared" si="9"/>
        <v>0</v>
      </c>
      <c r="O14" s="102">
        <f t="shared" si="12"/>
        <v>0</v>
      </c>
      <c r="P14" s="102"/>
      <c r="Q14" s="102">
        <f t="shared" si="9"/>
        <v>3229</v>
      </c>
      <c r="R14" s="102">
        <f t="shared" si="13"/>
        <v>0</v>
      </c>
      <c r="S14" s="102"/>
      <c r="T14" s="102">
        <f t="shared" si="9"/>
        <v>0</v>
      </c>
      <c r="U14" s="102">
        <f t="shared" si="9"/>
        <v>0</v>
      </c>
      <c r="V14" s="102">
        <f t="shared" si="14"/>
        <v>0</v>
      </c>
      <c r="W14" s="102"/>
      <c r="X14" s="102">
        <f t="shared" si="1"/>
        <v>423950</v>
      </c>
      <c r="Y14" s="102">
        <f t="shared" si="15"/>
        <v>440594</v>
      </c>
      <c r="Z14" s="102">
        <f t="shared" si="15"/>
        <v>439725</v>
      </c>
      <c r="AA14" s="102">
        <f t="shared" si="16"/>
        <v>715298</v>
      </c>
      <c r="AB14" s="102">
        <f t="shared" si="2"/>
        <v>869099</v>
      </c>
      <c r="AC14" s="102">
        <f t="shared" si="2"/>
        <v>866101</v>
      </c>
      <c r="AE14" s="632"/>
      <c r="AF14" s="632"/>
      <c r="AG14" s="632"/>
      <c r="AH14" s="632"/>
      <c r="AI14" s="632"/>
      <c r="AJ14" s="632"/>
    </row>
    <row r="15" spans="1:36" x14ac:dyDescent="0.2">
      <c r="A15" s="104" t="s">
        <v>9</v>
      </c>
      <c r="B15" s="102">
        <f t="shared" si="3"/>
        <v>411800</v>
      </c>
      <c r="C15" s="102">
        <f t="shared" si="4"/>
        <v>396278</v>
      </c>
      <c r="D15" s="102">
        <f t="shared" si="5"/>
        <v>390865</v>
      </c>
      <c r="E15" s="102">
        <f t="shared" si="6"/>
        <v>802637</v>
      </c>
      <c r="F15" s="102">
        <f t="shared" si="7"/>
        <v>606402</v>
      </c>
      <c r="G15" s="102">
        <f t="shared" si="8"/>
        <v>534703</v>
      </c>
      <c r="H15" s="102">
        <f t="shared" si="9"/>
        <v>0</v>
      </c>
      <c r="I15" s="102">
        <f t="shared" si="10"/>
        <v>0</v>
      </c>
      <c r="J15" s="102"/>
      <c r="K15" s="102">
        <f t="shared" si="9"/>
        <v>0</v>
      </c>
      <c r="L15" s="102">
        <f t="shared" si="11"/>
        <v>0</v>
      </c>
      <c r="M15" s="102"/>
      <c r="N15" s="102">
        <f t="shared" si="9"/>
        <v>0</v>
      </c>
      <c r="O15" s="102">
        <f t="shared" si="12"/>
        <v>0</v>
      </c>
      <c r="P15" s="102"/>
      <c r="Q15" s="102">
        <f t="shared" si="9"/>
        <v>3229</v>
      </c>
      <c r="R15" s="102">
        <f t="shared" si="13"/>
        <v>0</v>
      </c>
      <c r="S15" s="102"/>
      <c r="T15" s="102">
        <f t="shared" si="9"/>
        <v>0</v>
      </c>
      <c r="U15" s="102">
        <f t="shared" si="9"/>
        <v>0</v>
      </c>
      <c r="V15" s="102">
        <f t="shared" si="14"/>
        <v>0</v>
      </c>
      <c r="W15" s="102"/>
      <c r="X15" s="102">
        <f t="shared" si="1"/>
        <v>411800</v>
      </c>
      <c r="Y15" s="102">
        <f t="shared" si="15"/>
        <v>396278</v>
      </c>
      <c r="Z15" s="102">
        <f t="shared" si="15"/>
        <v>390865</v>
      </c>
      <c r="AA15" s="102">
        <f t="shared" si="16"/>
        <v>805866</v>
      </c>
      <c r="AB15" s="102">
        <f t="shared" si="2"/>
        <v>606402</v>
      </c>
      <c r="AC15" s="102">
        <f t="shared" si="2"/>
        <v>534703</v>
      </c>
      <c r="AE15" s="632"/>
      <c r="AF15" s="632"/>
      <c r="AG15" s="632"/>
      <c r="AH15" s="632"/>
      <c r="AI15" s="632"/>
      <c r="AJ15" s="632"/>
    </row>
    <row r="16" spans="1:36" x14ac:dyDescent="0.2">
      <c r="A16" s="104" t="s">
        <v>10</v>
      </c>
      <c r="B16" s="102">
        <f t="shared" si="3"/>
        <v>407508</v>
      </c>
      <c r="C16" s="102">
        <f t="shared" si="4"/>
        <v>738875</v>
      </c>
      <c r="D16" s="102">
        <f t="shared" si="5"/>
        <v>734293</v>
      </c>
      <c r="E16" s="102">
        <f t="shared" si="6"/>
        <v>1025846</v>
      </c>
      <c r="F16" s="102">
        <f t="shared" si="7"/>
        <v>869107</v>
      </c>
      <c r="G16" s="102">
        <f t="shared" si="8"/>
        <v>795733</v>
      </c>
      <c r="H16" s="102">
        <f t="shared" si="9"/>
        <v>0</v>
      </c>
      <c r="I16" s="102">
        <f t="shared" si="10"/>
        <v>0</v>
      </c>
      <c r="J16" s="102">
        <v>600000</v>
      </c>
      <c r="K16" s="102">
        <f t="shared" si="9"/>
        <v>0</v>
      </c>
      <c r="L16" s="102">
        <f t="shared" si="11"/>
        <v>0</v>
      </c>
      <c r="M16" s="102">
        <v>-139086</v>
      </c>
      <c r="N16" s="102">
        <f t="shared" si="9"/>
        <v>500000</v>
      </c>
      <c r="O16" s="102">
        <f t="shared" si="12"/>
        <v>500000</v>
      </c>
      <c r="P16" s="102">
        <v>-300000</v>
      </c>
      <c r="Q16" s="102">
        <f t="shared" si="9"/>
        <v>7725</v>
      </c>
      <c r="R16" s="102">
        <f t="shared" si="13"/>
        <v>139086</v>
      </c>
      <c r="S16" s="102">
        <v>139086</v>
      </c>
      <c r="T16" s="102">
        <f t="shared" si="9"/>
        <v>0</v>
      </c>
      <c r="U16" s="102">
        <f t="shared" si="9"/>
        <v>0</v>
      </c>
      <c r="V16" s="102">
        <f t="shared" si="14"/>
        <v>0</v>
      </c>
      <c r="W16" s="102"/>
      <c r="X16" s="102">
        <f t="shared" si="1"/>
        <v>907508</v>
      </c>
      <c r="Y16" s="102">
        <f t="shared" si="15"/>
        <v>1238875</v>
      </c>
      <c r="Z16" s="102">
        <f t="shared" si="15"/>
        <v>1034293</v>
      </c>
      <c r="AA16" s="102">
        <f t="shared" si="16"/>
        <v>1033571</v>
      </c>
      <c r="AB16" s="102">
        <f t="shared" si="2"/>
        <v>1008193</v>
      </c>
      <c r="AC16" s="102">
        <f t="shared" si="2"/>
        <v>795733</v>
      </c>
      <c r="AE16" s="632"/>
      <c r="AF16" s="632"/>
      <c r="AG16" s="632"/>
      <c r="AH16" s="632"/>
      <c r="AI16" s="632"/>
      <c r="AJ16" s="632"/>
    </row>
    <row r="17" spans="1:36" x14ac:dyDescent="0.2">
      <c r="A17" s="104" t="s">
        <v>11</v>
      </c>
      <c r="B17" s="102">
        <f t="shared" si="3"/>
        <v>409982</v>
      </c>
      <c r="C17" s="102">
        <f t="shared" si="4"/>
        <v>387718</v>
      </c>
      <c r="D17" s="102">
        <f t="shared" si="5"/>
        <v>382001</v>
      </c>
      <c r="E17" s="102">
        <f t="shared" si="6"/>
        <v>999951</v>
      </c>
      <c r="F17" s="102">
        <f t="shared" si="7"/>
        <v>999905</v>
      </c>
      <c r="G17" s="102">
        <f t="shared" si="8"/>
        <v>997145</v>
      </c>
      <c r="H17" s="102">
        <f t="shared" si="9"/>
        <v>0</v>
      </c>
      <c r="I17" s="102">
        <f t="shared" si="10"/>
        <v>0</v>
      </c>
      <c r="J17" s="102">
        <v>100000</v>
      </c>
      <c r="K17" s="102">
        <f t="shared" si="9"/>
        <v>0</v>
      </c>
      <c r="L17" s="102">
        <f t="shared" si="11"/>
        <v>0</v>
      </c>
      <c r="M17" s="102"/>
      <c r="N17" s="102">
        <f t="shared" si="9"/>
        <v>700000</v>
      </c>
      <c r="O17" s="102">
        <f t="shared" si="12"/>
        <v>700000</v>
      </c>
      <c r="P17" s="102">
        <v>250000</v>
      </c>
      <c r="Q17" s="102">
        <f t="shared" si="9"/>
        <v>10729</v>
      </c>
      <c r="R17" s="102">
        <f t="shared" si="13"/>
        <v>0</v>
      </c>
      <c r="S17" s="102"/>
      <c r="T17" s="102">
        <f t="shared" si="9"/>
        <v>0</v>
      </c>
      <c r="U17" s="102">
        <f t="shared" si="9"/>
        <v>0</v>
      </c>
      <c r="V17" s="102">
        <f t="shared" si="14"/>
        <v>0</v>
      </c>
      <c r="W17" s="102"/>
      <c r="X17" s="102">
        <f t="shared" si="1"/>
        <v>1109982</v>
      </c>
      <c r="Y17" s="102">
        <f t="shared" si="15"/>
        <v>1087718</v>
      </c>
      <c r="Z17" s="102">
        <f t="shared" si="15"/>
        <v>732001</v>
      </c>
      <c r="AA17" s="102">
        <f t="shared" si="16"/>
        <v>1010680</v>
      </c>
      <c r="AB17" s="102">
        <f t="shared" si="2"/>
        <v>999905</v>
      </c>
      <c r="AC17" s="102">
        <f t="shared" si="2"/>
        <v>997145</v>
      </c>
      <c r="AE17" s="632"/>
      <c r="AF17" s="632"/>
      <c r="AG17" s="632"/>
      <c r="AH17" s="632"/>
      <c r="AI17" s="632"/>
      <c r="AJ17" s="632"/>
    </row>
    <row r="18" spans="1:36" x14ac:dyDescent="0.2">
      <c r="A18" s="104" t="s">
        <v>12</v>
      </c>
      <c r="B18" s="102">
        <f t="shared" si="3"/>
        <v>409984</v>
      </c>
      <c r="C18" s="102">
        <f t="shared" si="4"/>
        <v>316903</v>
      </c>
      <c r="D18" s="102">
        <f t="shared" si="5"/>
        <v>314145</v>
      </c>
      <c r="E18" s="102">
        <f t="shared" si="6"/>
        <v>972453</v>
      </c>
      <c r="F18" s="102">
        <f t="shared" si="7"/>
        <v>719179</v>
      </c>
      <c r="G18" s="102">
        <f t="shared" si="8"/>
        <v>649205</v>
      </c>
      <c r="H18" s="102">
        <f t="shared" si="9"/>
        <v>0</v>
      </c>
      <c r="I18" s="102">
        <f t="shared" si="10"/>
        <v>0</v>
      </c>
      <c r="J18" s="102">
        <v>390000</v>
      </c>
      <c r="K18" s="102">
        <f t="shared" si="9"/>
        <v>0</v>
      </c>
      <c r="L18" s="102">
        <f t="shared" si="11"/>
        <v>0</v>
      </c>
      <c r="M18" s="102"/>
      <c r="N18" s="102">
        <f t="shared" si="9"/>
        <v>0</v>
      </c>
      <c r="O18" s="102">
        <f t="shared" si="12"/>
        <v>0</v>
      </c>
      <c r="P18" s="102">
        <v>-250000</v>
      </c>
      <c r="Q18" s="102">
        <f t="shared" si="9"/>
        <v>3229</v>
      </c>
      <c r="R18" s="102">
        <f t="shared" si="13"/>
        <v>0</v>
      </c>
      <c r="S18" s="102"/>
      <c r="T18" s="102">
        <f t="shared" si="9"/>
        <v>0</v>
      </c>
      <c r="U18" s="102">
        <f t="shared" si="9"/>
        <v>0</v>
      </c>
      <c r="V18" s="102">
        <f t="shared" si="14"/>
        <v>0</v>
      </c>
      <c r="W18" s="102"/>
      <c r="X18" s="102">
        <f t="shared" si="1"/>
        <v>409984</v>
      </c>
      <c r="Y18" s="102">
        <f t="shared" si="15"/>
        <v>316903</v>
      </c>
      <c r="Z18" s="102">
        <f t="shared" si="15"/>
        <v>454145</v>
      </c>
      <c r="AA18" s="102">
        <f t="shared" si="16"/>
        <v>975682</v>
      </c>
      <c r="AB18" s="102">
        <f t="shared" si="2"/>
        <v>719179</v>
      </c>
      <c r="AC18" s="102">
        <f t="shared" si="2"/>
        <v>649205</v>
      </c>
      <c r="AE18" s="632"/>
      <c r="AF18" s="632"/>
      <c r="AG18" s="632"/>
      <c r="AH18" s="632"/>
      <c r="AI18" s="632"/>
      <c r="AJ18" s="632"/>
    </row>
    <row r="19" spans="1:36" x14ac:dyDescent="0.2">
      <c r="A19" s="104" t="s">
        <v>13</v>
      </c>
      <c r="B19" s="102">
        <f t="shared" si="3"/>
        <v>2330117</v>
      </c>
      <c r="C19" s="102">
        <f t="shared" si="4"/>
        <v>2307668</v>
      </c>
      <c r="D19" s="102">
        <f t="shared" si="5"/>
        <v>1787701</v>
      </c>
      <c r="E19" s="102">
        <f t="shared" si="6"/>
        <v>665221</v>
      </c>
      <c r="F19" s="102">
        <f t="shared" si="7"/>
        <v>944524</v>
      </c>
      <c r="G19" s="102">
        <f t="shared" si="8"/>
        <v>931303</v>
      </c>
      <c r="H19" s="102">
        <f t="shared" si="9"/>
        <v>0</v>
      </c>
      <c r="I19" s="102">
        <f t="shared" si="10"/>
        <v>0</v>
      </c>
      <c r="J19" s="102">
        <v>20000</v>
      </c>
      <c r="K19" s="102">
        <f t="shared" si="9"/>
        <v>0</v>
      </c>
      <c r="L19" s="102">
        <f t="shared" si="11"/>
        <v>0</v>
      </c>
      <c r="M19" s="102"/>
      <c r="N19" s="102">
        <f t="shared" si="9"/>
        <v>0</v>
      </c>
      <c r="O19" s="102">
        <f t="shared" si="12"/>
        <v>0</v>
      </c>
      <c r="P19" s="102"/>
      <c r="Q19" s="102">
        <f t="shared" si="9"/>
        <v>27229</v>
      </c>
      <c r="R19" s="102">
        <f t="shared" si="13"/>
        <v>0</v>
      </c>
      <c r="S19" s="102"/>
      <c r="T19" s="102">
        <f t="shared" si="9"/>
        <v>0</v>
      </c>
      <c r="U19" s="102">
        <f t="shared" si="9"/>
        <v>0</v>
      </c>
      <c r="V19" s="102">
        <f t="shared" si="14"/>
        <v>0</v>
      </c>
      <c r="W19" s="102"/>
      <c r="X19" s="102">
        <f t="shared" si="1"/>
        <v>2330117</v>
      </c>
      <c r="Y19" s="102">
        <f t="shared" si="15"/>
        <v>2307668</v>
      </c>
      <c r="Z19" s="102">
        <f>+P19+D19+J19</f>
        <v>1807701</v>
      </c>
      <c r="AA19" s="102">
        <f t="shared" si="16"/>
        <v>692450</v>
      </c>
      <c r="AB19" s="102">
        <f t="shared" si="2"/>
        <v>944524</v>
      </c>
      <c r="AC19" s="102">
        <f t="shared" si="2"/>
        <v>931303</v>
      </c>
      <c r="AE19" s="632"/>
      <c r="AF19" s="632"/>
      <c r="AG19" s="632"/>
      <c r="AH19" s="632"/>
      <c r="AI19" s="632"/>
    </row>
    <row r="20" spans="1:36" x14ac:dyDescent="0.2">
      <c r="A20" s="104" t="s">
        <v>14</v>
      </c>
      <c r="B20" s="102">
        <f t="shared" si="3"/>
        <v>410124</v>
      </c>
      <c r="C20" s="102">
        <f t="shared" si="4"/>
        <v>480604</v>
      </c>
      <c r="D20" s="102">
        <f t="shared" si="5"/>
        <v>475632</v>
      </c>
      <c r="E20" s="102">
        <f t="shared" si="6"/>
        <v>641578</v>
      </c>
      <c r="F20" s="102">
        <f t="shared" si="7"/>
        <v>1203011</v>
      </c>
      <c r="G20" s="102">
        <f t="shared" si="8"/>
        <v>1190067</v>
      </c>
      <c r="H20" s="102">
        <f t="shared" si="9"/>
        <v>0</v>
      </c>
      <c r="I20" s="102">
        <f t="shared" si="10"/>
        <v>0</v>
      </c>
      <c r="J20" s="102"/>
      <c r="K20" s="102">
        <f t="shared" si="9"/>
        <v>0</v>
      </c>
      <c r="L20" s="102">
        <f t="shared" si="11"/>
        <v>0</v>
      </c>
      <c r="M20" s="102"/>
      <c r="N20" s="102">
        <f t="shared" si="9"/>
        <v>0</v>
      </c>
      <c r="O20" s="102">
        <f t="shared" si="12"/>
        <v>0</v>
      </c>
      <c r="P20" s="102"/>
      <c r="Q20" s="102">
        <f t="shared" si="9"/>
        <v>0</v>
      </c>
      <c r="R20" s="102">
        <f t="shared" si="13"/>
        <v>0</v>
      </c>
      <c r="S20" s="633"/>
      <c r="T20" s="102">
        <f t="shared" si="9"/>
        <v>0</v>
      </c>
      <c r="U20" s="102">
        <f t="shared" si="9"/>
        <v>0</v>
      </c>
      <c r="V20" s="102">
        <f t="shared" si="14"/>
        <v>0</v>
      </c>
      <c r="W20" s="102"/>
      <c r="X20" s="102">
        <f t="shared" si="1"/>
        <v>410124</v>
      </c>
      <c r="Y20" s="102">
        <f t="shared" si="15"/>
        <v>480604</v>
      </c>
      <c r="Z20" s="102">
        <f t="shared" si="15"/>
        <v>475632</v>
      </c>
      <c r="AA20" s="102">
        <f t="shared" si="16"/>
        <v>641578</v>
      </c>
      <c r="AB20" s="102">
        <f t="shared" si="2"/>
        <v>1203011</v>
      </c>
      <c r="AC20" s="102">
        <f t="shared" si="2"/>
        <v>1190067</v>
      </c>
      <c r="AE20" s="632"/>
      <c r="AF20" s="632"/>
      <c r="AG20" s="632"/>
      <c r="AH20" s="632"/>
      <c r="AI20" s="632"/>
    </row>
    <row r="21" spans="1:36" x14ac:dyDescent="0.2">
      <c r="A21" s="104" t="s">
        <v>15</v>
      </c>
      <c r="B21" s="102">
        <f t="shared" si="3"/>
        <v>409326</v>
      </c>
      <c r="C21" s="102">
        <f t="shared" si="4"/>
        <v>350518</v>
      </c>
      <c r="D21" s="102">
        <f t="shared" si="5"/>
        <v>342830</v>
      </c>
      <c r="E21" s="102">
        <f t="shared" si="6"/>
        <v>790780</v>
      </c>
      <c r="F21" s="102">
        <f t="shared" si="7"/>
        <v>642944</v>
      </c>
      <c r="G21" s="102">
        <f t="shared" si="8"/>
        <v>641702</v>
      </c>
      <c r="H21" s="102">
        <f t="shared" si="9"/>
        <v>0</v>
      </c>
      <c r="I21" s="102">
        <f t="shared" si="10"/>
        <v>0</v>
      </c>
      <c r="J21" s="102"/>
      <c r="K21" s="102">
        <f t="shared" si="9"/>
        <v>0</v>
      </c>
      <c r="L21" s="102">
        <f t="shared" si="11"/>
        <v>0</v>
      </c>
      <c r="M21" s="102"/>
      <c r="N21" s="102">
        <f t="shared" si="9"/>
        <v>0</v>
      </c>
      <c r="O21" s="102">
        <f t="shared" si="12"/>
        <v>0</v>
      </c>
      <c r="P21" s="102"/>
      <c r="Q21" s="102">
        <f t="shared" si="9"/>
        <v>0</v>
      </c>
      <c r="R21" s="102">
        <f t="shared" si="13"/>
        <v>0</v>
      </c>
      <c r="S21" s="102"/>
      <c r="T21" s="102">
        <f t="shared" si="9"/>
        <v>0</v>
      </c>
      <c r="U21" s="102">
        <f t="shared" si="9"/>
        <v>0</v>
      </c>
      <c r="V21" s="102">
        <f t="shared" si="14"/>
        <v>0</v>
      </c>
      <c r="W21" s="102"/>
      <c r="X21" s="102">
        <f t="shared" si="1"/>
        <v>409326</v>
      </c>
      <c r="Y21" s="102">
        <f t="shared" si="15"/>
        <v>350518</v>
      </c>
      <c r="Z21" s="102">
        <f t="shared" si="15"/>
        <v>342830</v>
      </c>
      <c r="AA21" s="102">
        <f t="shared" si="16"/>
        <v>790780</v>
      </c>
      <c r="AB21" s="102">
        <f t="shared" si="2"/>
        <v>642944</v>
      </c>
      <c r="AC21" s="102">
        <f t="shared" si="2"/>
        <v>641702</v>
      </c>
      <c r="AE21" s="632"/>
      <c r="AF21" s="632"/>
      <c r="AG21" s="632"/>
      <c r="AH21" s="632"/>
      <c r="AI21" s="632"/>
    </row>
    <row r="22" spans="1:36" x14ac:dyDescent="0.2">
      <c r="A22" s="104" t="s">
        <v>16</v>
      </c>
      <c r="B22" s="102">
        <f t="shared" si="3"/>
        <v>408658</v>
      </c>
      <c r="C22" s="102">
        <f t="shared" si="4"/>
        <v>762149</v>
      </c>
      <c r="D22" s="102">
        <f t="shared" si="5"/>
        <v>788020</v>
      </c>
      <c r="E22" s="102">
        <f t="shared" si="6"/>
        <v>790301</v>
      </c>
      <c r="F22" s="102">
        <f t="shared" si="7"/>
        <v>1104811</v>
      </c>
      <c r="G22" s="102">
        <f t="shared" si="8"/>
        <v>1110225</v>
      </c>
      <c r="H22" s="102">
        <f t="shared" si="9"/>
        <v>0</v>
      </c>
      <c r="I22" s="102">
        <f t="shared" si="10"/>
        <v>0</v>
      </c>
      <c r="J22" s="102">
        <v>-1110000</v>
      </c>
      <c r="K22" s="102">
        <f t="shared" si="9"/>
        <v>180000</v>
      </c>
      <c r="L22" s="102">
        <f t="shared" si="11"/>
        <v>0</v>
      </c>
      <c r="M22" s="102"/>
      <c r="N22" s="102">
        <f t="shared" si="9"/>
        <v>0</v>
      </c>
      <c r="O22" s="102">
        <f t="shared" si="12"/>
        <v>1891458</v>
      </c>
      <c r="P22" s="102">
        <v>1891458</v>
      </c>
      <c r="Q22" s="102">
        <f t="shared" si="9"/>
        <v>180000</v>
      </c>
      <c r="R22" s="102">
        <f t="shared" si="13"/>
        <v>1891458</v>
      </c>
      <c r="S22" s="102"/>
      <c r="T22" s="102">
        <f t="shared" si="9"/>
        <v>0</v>
      </c>
      <c r="U22" s="102">
        <f t="shared" si="9"/>
        <v>0</v>
      </c>
      <c r="V22" s="102">
        <f t="shared" si="14"/>
        <v>0</v>
      </c>
      <c r="W22" s="102"/>
      <c r="X22" s="102">
        <f t="shared" si="1"/>
        <v>408658</v>
      </c>
      <c r="Y22" s="102">
        <f t="shared" si="15"/>
        <v>2653607</v>
      </c>
      <c r="Z22" s="102">
        <f t="shared" si="15"/>
        <v>1569478</v>
      </c>
      <c r="AA22" s="102">
        <f t="shared" si="16"/>
        <v>1150301</v>
      </c>
      <c r="AB22" s="102">
        <f t="shared" si="2"/>
        <v>2996269</v>
      </c>
      <c r="AC22" s="102">
        <f t="shared" si="2"/>
        <v>1110225</v>
      </c>
      <c r="AE22" s="632"/>
      <c r="AF22" s="632"/>
      <c r="AG22" s="632"/>
      <c r="AH22" s="632"/>
      <c r="AI22" s="632"/>
    </row>
    <row r="23" spans="1:36" x14ac:dyDescent="0.2">
      <c r="A23" s="634" t="s">
        <v>17</v>
      </c>
      <c r="B23" s="113">
        <f>SUM(B11:B22)</f>
        <v>8811723</v>
      </c>
      <c r="C23" s="113">
        <f t="shared" ref="C23:AC23" si="17">SUM(C11:C22)</f>
        <v>9445645</v>
      </c>
      <c r="D23" s="113">
        <f t="shared" si="17"/>
        <v>8573251</v>
      </c>
      <c r="E23" s="113">
        <f t="shared" si="17"/>
        <v>9452541</v>
      </c>
      <c r="F23" s="113">
        <f t="shared" si="17"/>
        <v>9931632</v>
      </c>
      <c r="G23" s="113">
        <f t="shared" si="17"/>
        <v>9678955</v>
      </c>
      <c r="H23" s="113">
        <f t="shared" si="17"/>
        <v>180000</v>
      </c>
      <c r="I23" s="113">
        <f t="shared" si="17"/>
        <v>300000</v>
      </c>
      <c r="J23" s="113">
        <f t="shared" si="17"/>
        <v>300000</v>
      </c>
      <c r="K23" s="113">
        <f t="shared" si="17"/>
        <v>180000</v>
      </c>
      <c r="L23" s="113">
        <f t="shared" si="17"/>
        <v>300000</v>
      </c>
      <c r="M23" s="113">
        <f t="shared" si="17"/>
        <v>300000</v>
      </c>
      <c r="N23" s="113">
        <f t="shared" si="17"/>
        <v>1530000</v>
      </c>
      <c r="O23" s="113">
        <f t="shared" si="17"/>
        <v>3091458</v>
      </c>
      <c r="P23" s="113">
        <f t="shared" si="17"/>
        <v>1891458</v>
      </c>
      <c r="Q23" s="113">
        <f t="shared" si="17"/>
        <v>844285</v>
      </c>
      <c r="R23" s="113">
        <f t="shared" si="17"/>
        <v>2570017</v>
      </c>
      <c r="S23" s="113">
        <f t="shared" si="17"/>
        <v>678559</v>
      </c>
      <c r="T23" s="113">
        <f t="shared" si="17"/>
        <v>0</v>
      </c>
      <c r="U23" s="113">
        <f t="shared" si="17"/>
        <v>44897</v>
      </c>
      <c r="V23" s="113">
        <f t="shared" si="17"/>
        <v>35454</v>
      </c>
      <c r="W23" s="113">
        <f t="shared" si="17"/>
        <v>35454</v>
      </c>
      <c r="X23" s="113">
        <f t="shared" si="17"/>
        <v>10521723</v>
      </c>
      <c r="Y23" s="113">
        <f>SUM(Y11:Y22)</f>
        <v>12837103</v>
      </c>
      <c r="Z23" s="113">
        <f t="shared" si="17"/>
        <v>10764709</v>
      </c>
      <c r="AA23" s="113">
        <f t="shared" si="17"/>
        <v>10521723</v>
      </c>
      <c r="AB23" s="113">
        <f t="shared" si="17"/>
        <v>12837103</v>
      </c>
      <c r="AC23" s="113">
        <f t="shared" si="17"/>
        <v>10692968</v>
      </c>
      <c r="AE23" s="632"/>
      <c r="AF23" s="632"/>
      <c r="AG23" s="632"/>
      <c r="AH23" s="632"/>
      <c r="AI23" s="632"/>
    </row>
    <row r="24" spans="1:36" x14ac:dyDescent="0.2">
      <c r="A24" s="635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E24" s="632"/>
      <c r="AF24" s="632"/>
      <c r="AG24" s="632"/>
      <c r="AH24" s="632"/>
      <c r="AI24" s="632"/>
    </row>
    <row r="25" spans="1:36" x14ac:dyDescent="0.2">
      <c r="A25" s="635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E25" s="632"/>
      <c r="AF25" s="632"/>
      <c r="AG25" s="632"/>
      <c r="AH25" s="632"/>
      <c r="AI25" s="632"/>
    </row>
    <row r="26" spans="1:36" x14ac:dyDescent="0.2">
      <c r="A26" s="635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623"/>
      <c r="Y26" s="623"/>
      <c r="Z26" s="623"/>
      <c r="AA26" s="623"/>
      <c r="AB26" s="623"/>
      <c r="AC26" s="623"/>
      <c r="AE26" s="632"/>
      <c r="AF26" s="632"/>
      <c r="AG26" s="632"/>
      <c r="AH26" s="632"/>
      <c r="AI26" s="632"/>
    </row>
    <row r="27" spans="1:36" x14ac:dyDescent="0.2">
      <c r="A27" s="630"/>
      <c r="B27" s="630"/>
      <c r="C27" s="630"/>
      <c r="D27" s="630"/>
      <c r="E27" s="630"/>
      <c r="F27" s="630"/>
      <c r="G27" s="630"/>
      <c r="H27" s="630"/>
      <c r="X27" s="626"/>
      <c r="Y27" s="624"/>
      <c r="Z27" s="626"/>
      <c r="AA27" s="626"/>
      <c r="AB27" s="626"/>
      <c r="AC27" s="628" t="s">
        <v>1846</v>
      </c>
    </row>
    <row r="29" spans="1:36" x14ac:dyDescent="0.2">
      <c r="A29" s="928" t="s">
        <v>132</v>
      </c>
      <c r="B29" s="928"/>
      <c r="C29" s="928"/>
      <c r="D29" s="928"/>
      <c r="E29" s="928"/>
      <c r="F29" s="928"/>
      <c r="G29" s="928"/>
      <c r="H29" s="928"/>
      <c r="I29" s="928"/>
      <c r="J29" s="928"/>
      <c r="K29" s="928"/>
      <c r="L29" s="928"/>
      <c r="M29" s="928"/>
      <c r="N29" s="928"/>
      <c r="O29" s="928"/>
      <c r="P29" s="928"/>
      <c r="Q29" s="928"/>
      <c r="R29" s="928"/>
      <c r="S29" s="928"/>
      <c r="T29" s="928"/>
      <c r="U29" s="928"/>
      <c r="V29" s="928"/>
      <c r="W29" s="928"/>
      <c r="X29" s="928"/>
      <c r="Y29" s="928"/>
      <c r="Z29" s="928"/>
      <c r="AA29" s="928"/>
      <c r="AB29" s="928"/>
      <c r="AC29" s="928"/>
    </row>
    <row r="30" spans="1:36" x14ac:dyDescent="0.2">
      <c r="A30" s="630" t="s">
        <v>357</v>
      </c>
      <c r="B30" s="630"/>
      <c r="C30" s="630"/>
      <c r="D30" s="630"/>
      <c r="E30" s="630"/>
      <c r="F30" s="630"/>
      <c r="G30" s="630"/>
      <c r="H30" s="630"/>
      <c r="I30" s="630"/>
    </row>
    <row r="31" spans="1:36" ht="21" customHeight="1" x14ac:dyDescent="0.2">
      <c r="A31" s="630"/>
      <c r="B31" s="630"/>
      <c r="C31" s="630"/>
      <c r="D31" s="630"/>
      <c r="E31" s="630"/>
      <c r="F31" s="630"/>
      <c r="G31" s="630"/>
      <c r="H31" s="630"/>
      <c r="AC31" s="628" t="s">
        <v>0</v>
      </c>
    </row>
    <row r="32" spans="1:36" x14ac:dyDescent="0.2">
      <c r="A32" s="929" t="s">
        <v>2</v>
      </c>
      <c r="B32" s="941" t="s">
        <v>18</v>
      </c>
      <c r="C32" s="930"/>
      <c r="D32" s="943"/>
      <c r="E32" s="943"/>
      <c r="F32" s="943"/>
      <c r="G32" s="923"/>
      <c r="H32" s="941" t="s">
        <v>1333</v>
      </c>
      <c r="I32" s="930"/>
      <c r="J32" s="943"/>
      <c r="K32" s="943"/>
      <c r="L32" s="943"/>
      <c r="M32" s="923"/>
      <c r="N32" s="941" t="s">
        <v>1334</v>
      </c>
      <c r="O32" s="930"/>
      <c r="P32" s="943"/>
      <c r="Q32" s="943"/>
      <c r="R32" s="943"/>
      <c r="S32" s="923"/>
      <c r="T32" s="941" t="s">
        <v>497</v>
      </c>
      <c r="U32" s="930"/>
      <c r="V32" s="943"/>
      <c r="W32" s="923"/>
      <c r="X32" s="941" t="s">
        <v>17</v>
      </c>
      <c r="Y32" s="930"/>
      <c r="Z32" s="930"/>
      <c r="AA32" s="930"/>
      <c r="AB32" s="943"/>
      <c r="AC32" s="923"/>
    </row>
    <row r="33" spans="1:38" x14ac:dyDescent="0.2">
      <c r="A33" s="929"/>
      <c r="B33" s="941" t="s">
        <v>3</v>
      </c>
      <c r="C33" s="943"/>
      <c r="D33" s="923"/>
      <c r="E33" s="941" t="s">
        <v>4</v>
      </c>
      <c r="F33" s="943" t="s">
        <v>4</v>
      </c>
      <c r="G33" s="923" t="s">
        <v>4</v>
      </c>
      <c r="H33" s="941" t="s">
        <v>20</v>
      </c>
      <c r="I33" s="943" t="s">
        <v>20</v>
      </c>
      <c r="J33" s="923" t="s">
        <v>20</v>
      </c>
      <c r="K33" s="941" t="s">
        <v>21</v>
      </c>
      <c r="L33" s="943" t="s">
        <v>21</v>
      </c>
      <c r="M33" s="923" t="s">
        <v>21</v>
      </c>
      <c r="N33" s="941" t="s">
        <v>20</v>
      </c>
      <c r="O33" s="943" t="s">
        <v>20</v>
      </c>
      <c r="P33" s="923" t="s">
        <v>20</v>
      </c>
      <c r="Q33" s="941" t="s">
        <v>21</v>
      </c>
      <c r="R33" s="943" t="s">
        <v>21</v>
      </c>
      <c r="S33" s="923" t="s">
        <v>21</v>
      </c>
      <c r="T33" s="98" t="s">
        <v>498</v>
      </c>
      <c r="U33" s="941" t="s">
        <v>499</v>
      </c>
      <c r="V33" s="943" t="s">
        <v>499</v>
      </c>
      <c r="W33" s="923" t="s">
        <v>499</v>
      </c>
      <c r="X33" s="941" t="s">
        <v>448</v>
      </c>
      <c r="Y33" s="943"/>
      <c r="Z33" s="923"/>
      <c r="AA33" s="941" t="s">
        <v>4</v>
      </c>
      <c r="AB33" s="930"/>
      <c r="AC33" s="942"/>
      <c r="AE33" s="109" t="s">
        <v>590</v>
      </c>
      <c r="AF33" s="109"/>
      <c r="AG33" s="109" t="s">
        <v>590</v>
      </c>
      <c r="AH33" s="110"/>
    </row>
    <row r="34" spans="1:38" s="636" customFormat="1" ht="45" x14ac:dyDescent="0.2">
      <c r="A34" s="205"/>
      <c r="B34" s="205" t="s">
        <v>557</v>
      </c>
      <c r="C34" s="205" t="s">
        <v>1304</v>
      </c>
      <c r="D34" s="205" t="s">
        <v>1311</v>
      </c>
      <c r="E34" s="205" t="s">
        <v>557</v>
      </c>
      <c r="F34" s="205" t="s">
        <v>1304</v>
      </c>
      <c r="G34" s="205" t="s">
        <v>1311</v>
      </c>
      <c r="H34" s="205" t="s">
        <v>557</v>
      </c>
      <c r="I34" s="205" t="s">
        <v>1304</v>
      </c>
      <c r="J34" s="205" t="s">
        <v>1311</v>
      </c>
      <c r="K34" s="205" t="s">
        <v>557</v>
      </c>
      <c r="L34" s="205" t="s">
        <v>1304</v>
      </c>
      <c r="M34" s="205" t="s">
        <v>1311</v>
      </c>
      <c r="N34" s="205" t="s">
        <v>557</v>
      </c>
      <c r="O34" s="205" t="s">
        <v>1304</v>
      </c>
      <c r="P34" s="205" t="s">
        <v>1311</v>
      </c>
      <c r="Q34" s="205" t="s">
        <v>557</v>
      </c>
      <c r="R34" s="205" t="s">
        <v>1304</v>
      </c>
      <c r="S34" s="205" t="s">
        <v>1311</v>
      </c>
      <c r="T34" s="98"/>
      <c r="U34" s="205" t="s">
        <v>557</v>
      </c>
      <c r="V34" s="205" t="s">
        <v>1304</v>
      </c>
      <c r="W34" s="205" t="s">
        <v>1311</v>
      </c>
      <c r="X34" s="205" t="s">
        <v>557</v>
      </c>
      <c r="Y34" s="205" t="s">
        <v>1304</v>
      </c>
      <c r="Z34" s="205" t="s">
        <v>1311</v>
      </c>
      <c r="AA34" s="205" t="s">
        <v>557</v>
      </c>
      <c r="AB34" s="205" t="s">
        <v>1304</v>
      </c>
      <c r="AC34" s="205" t="s">
        <v>1311</v>
      </c>
      <c r="AE34" s="637" t="s">
        <v>591</v>
      </c>
      <c r="AF34" s="637" t="s">
        <v>593</v>
      </c>
      <c r="AG34" s="637" t="s">
        <v>592</v>
      </c>
      <c r="AH34" s="637" t="s">
        <v>594</v>
      </c>
      <c r="AI34" s="637" t="s">
        <v>1300</v>
      </c>
      <c r="AJ34" s="637" t="s">
        <v>1301</v>
      </c>
      <c r="AK34" s="637"/>
      <c r="AL34" s="637"/>
    </row>
    <row r="35" spans="1:38" x14ac:dyDescent="0.2">
      <c r="A35" s="104" t="s">
        <v>5</v>
      </c>
      <c r="B35" s="102">
        <v>189329</v>
      </c>
      <c r="C35" s="102">
        <v>128895</v>
      </c>
      <c r="D35" s="102">
        <v>128895</v>
      </c>
      <c r="E35" s="102">
        <f>84896+50018+33200+384326+37092</f>
        <v>589532</v>
      </c>
      <c r="F35" s="102">
        <v>589173</v>
      </c>
      <c r="G35" s="102">
        <v>587059</v>
      </c>
      <c r="H35" s="102">
        <v>180000</v>
      </c>
      <c r="I35" s="102">
        <v>250000</v>
      </c>
      <c r="J35" s="102">
        <v>250000</v>
      </c>
      <c r="K35" s="102"/>
      <c r="L35" s="102">
        <v>50000</v>
      </c>
      <c r="M35" s="102">
        <v>50000</v>
      </c>
      <c r="N35" s="102">
        <v>150000</v>
      </c>
      <c r="O35" s="102"/>
      <c r="P35" s="102"/>
      <c r="Q35" s="102">
        <f>2113+5148+3230+1064</f>
        <v>11555</v>
      </c>
      <c r="R35" s="102"/>
      <c r="S35" s="102">
        <v>2114</v>
      </c>
      <c r="T35" s="102"/>
      <c r="U35" s="102">
        <f>34454+10443</f>
        <v>44897</v>
      </c>
      <c r="V35" s="102"/>
      <c r="W35" s="102"/>
      <c r="X35" s="102">
        <f t="shared" ref="X35:X46" si="18">+B35+H35+N35+T35</f>
        <v>519329</v>
      </c>
      <c r="Y35" s="102">
        <f>+O35+C35+I35</f>
        <v>378895</v>
      </c>
      <c r="Z35" s="102">
        <f>+P35+D35+J35</f>
        <v>378895</v>
      </c>
      <c r="AA35" s="102">
        <f t="shared" ref="AA35:AC46" si="19">+E35+K35+Q35+U35</f>
        <v>645984</v>
      </c>
      <c r="AB35" s="102">
        <f>+F35+L35+R35+V35</f>
        <v>639173</v>
      </c>
      <c r="AC35" s="102">
        <f>+G35+M35+S35+W35</f>
        <v>639173</v>
      </c>
      <c r="AF35" s="632">
        <f>+(AE37-AF37)/2</f>
        <v>420640</v>
      </c>
      <c r="AH35" s="632">
        <v>442868</v>
      </c>
    </row>
    <row r="36" spans="1:38" x14ac:dyDescent="0.2">
      <c r="A36" s="104" t="s">
        <v>6</v>
      </c>
      <c r="B36" s="102">
        <v>189329</v>
      </c>
      <c r="C36" s="102">
        <v>412396</v>
      </c>
      <c r="D36" s="102">
        <v>412396</v>
      </c>
      <c r="E36" s="102">
        <v>284059</v>
      </c>
      <c r="F36" s="102">
        <v>249070</v>
      </c>
      <c r="G36" s="102">
        <v>249070</v>
      </c>
      <c r="H36" s="102"/>
      <c r="I36" s="102">
        <v>50000</v>
      </c>
      <c r="J36" s="102">
        <v>50000</v>
      </c>
      <c r="K36" s="102"/>
      <c r="L36" s="102">
        <v>50000</v>
      </c>
      <c r="M36" s="102">
        <v>189086</v>
      </c>
      <c r="N36" s="102"/>
      <c r="O36" s="102"/>
      <c r="P36" s="102"/>
      <c r="Q36" s="102">
        <v>140588</v>
      </c>
      <c r="R36" s="102">
        <v>139473</v>
      </c>
      <c r="S36" s="102">
        <v>137359</v>
      </c>
      <c r="T36" s="102"/>
      <c r="U36" s="102"/>
      <c r="V36" s="102">
        <v>35454</v>
      </c>
      <c r="W36" s="102">
        <v>35454</v>
      </c>
      <c r="X36" s="102">
        <f t="shared" si="18"/>
        <v>189329</v>
      </c>
      <c r="Y36" s="102">
        <f t="shared" ref="Y36:Z46" si="20">+O36+C36+I36</f>
        <v>462396</v>
      </c>
      <c r="Z36" s="102">
        <f t="shared" si="20"/>
        <v>462396</v>
      </c>
      <c r="AA36" s="102">
        <f t="shared" si="19"/>
        <v>424647</v>
      </c>
      <c r="AB36" s="102">
        <f t="shared" si="19"/>
        <v>473997</v>
      </c>
      <c r="AC36" s="102">
        <f>+G36+M36+S36+W36</f>
        <v>610969</v>
      </c>
      <c r="AE36" s="632"/>
      <c r="AF36" s="632"/>
      <c r="AG36" s="632"/>
      <c r="AH36" s="632">
        <v>325085</v>
      </c>
      <c r="AI36" s="632"/>
    </row>
    <row r="37" spans="1:38" x14ac:dyDescent="0.2">
      <c r="A37" s="104" t="s">
        <v>7</v>
      </c>
      <c r="B37" s="624">
        <f>3840700/2+189329</f>
        <v>2109679</v>
      </c>
      <c r="C37" s="102">
        <f>3840700/2+189329</f>
        <v>2109679</v>
      </c>
      <c r="D37" s="624">
        <v>1768947</v>
      </c>
      <c r="E37" s="102">
        <f>26666+30000+384326+37092</f>
        <v>478084</v>
      </c>
      <c r="F37" s="102">
        <v>522016</v>
      </c>
      <c r="G37" s="102">
        <v>522016</v>
      </c>
      <c r="H37" s="102"/>
      <c r="I37" s="102"/>
      <c r="J37" s="102"/>
      <c r="K37" s="102"/>
      <c r="L37" s="102">
        <v>200000</v>
      </c>
      <c r="M37" s="102">
        <v>200000</v>
      </c>
      <c r="N37" s="102">
        <v>180000</v>
      </c>
      <c r="O37" s="102"/>
      <c r="P37" s="102">
        <v>300000</v>
      </c>
      <c r="Q37" s="102">
        <f>150000+300000+3230+1292+1250+1000</f>
        <v>456772</v>
      </c>
      <c r="R37" s="102">
        <v>400000</v>
      </c>
      <c r="S37" s="102">
        <v>400000</v>
      </c>
      <c r="T37" s="102"/>
      <c r="U37" s="102"/>
      <c r="V37" s="102"/>
      <c r="W37" s="102"/>
      <c r="X37" s="102">
        <f t="shared" si="18"/>
        <v>2289679</v>
      </c>
      <c r="Y37" s="102">
        <f t="shared" si="20"/>
        <v>2109679</v>
      </c>
      <c r="Z37" s="102">
        <f t="shared" si="20"/>
        <v>2068947</v>
      </c>
      <c r="AA37" s="102">
        <f t="shared" si="19"/>
        <v>934856</v>
      </c>
      <c r="AB37" s="102">
        <f t="shared" si="19"/>
        <v>1122016</v>
      </c>
      <c r="AC37" s="102">
        <f t="shared" si="19"/>
        <v>1122016</v>
      </c>
      <c r="AE37" s="632">
        <f>2310238+600000</f>
        <v>2910238</v>
      </c>
      <c r="AF37" s="632">
        <v>2068958</v>
      </c>
      <c r="AG37" s="632">
        <f>974661+1496871</f>
        <v>2471532</v>
      </c>
      <c r="AH37" s="632">
        <v>850111</v>
      </c>
      <c r="AI37" s="632">
        <v>382858</v>
      </c>
    </row>
    <row r="38" spans="1:38" x14ac:dyDescent="0.2">
      <c r="A38" s="104" t="s">
        <v>8</v>
      </c>
      <c r="B38" s="102">
        <v>189329</v>
      </c>
      <c r="C38" s="102">
        <v>192761</v>
      </c>
      <c r="D38" s="102">
        <v>192761</v>
      </c>
      <c r="E38" s="102">
        <f>26666+30000+384326+37092</f>
        <v>478084</v>
      </c>
      <c r="F38" s="102">
        <v>625222</v>
      </c>
      <c r="G38" s="102">
        <v>625222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>
        <v>3229</v>
      </c>
      <c r="R38" s="102"/>
      <c r="S38" s="102"/>
      <c r="T38" s="102"/>
      <c r="U38" s="102"/>
      <c r="V38" s="102"/>
      <c r="W38" s="102"/>
      <c r="X38" s="102">
        <f t="shared" si="18"/>
        <v>189329</v>
      </c>
      <c r="Y38" s="102">
        <f t="shared" si="20"/>
        <v>192761</v>
      </c>
      <c r="Z38" s="102">
        <f t="shared" si="20"/>
        <v>192761</v>
      </c>
      <c r="AA38" s="102">
        <f t="shared" si="19"/>
        <v>481313</v>
      </c>
      <c r="AB38" s="102">
        <f t="shared" si="19"/>
        <v>625222</v>
      </c>
      <c r="AC38" s="102">
        <f t="shared" si="19"/>
        <v>625222</v>
      </c>
      <c r="AE38" s="632">
        <f>2502998+600000</f>
        <v>3102998</v>
      </c>
      <c r="AF38" s="632">
        <f>+AE38-AE37</f>
        <v>192760</v>
      </c>
      <c r="AG38" s="632">
        <f>1384296+1612234</f>
        <v>2996530</v>
      </c>
      <c r="AH38" s="632">
        <f>+AG38-AG37</f>
        <v>524998</v>
      </c>
      <c r="AI38" s="632">
        <v>598221</v>
      </c>
      <c r="AJ38" s="632">
        <f>+AI38-AI37</f>
        <v>215363</v>
      </c>
    </row>
    <row r="39" spans="1:38" x14ac:dyDescent="0.2">
      <c r="A39" s="104" t="s">
        <v>9</v>
      </c>
      <c r="B39" s="102">
        <v>189329</v>
      </c>
      <c r="C39" s="102">
        <v>176822</v>
      </c>
      <c r="D39" s="102">
        <v>176822</v>
      </c>
      <c r="E39" s="102">
        <f>24000+75000+26666+30000+384326+37092</f>
        <v>577084</v>
      </c>
      <c r="F39" s="102">
        <v>379082</v>
      </c>
      <c r="G39" s="102">
        <v>310403</v>
      </c>
      <c r="H39" s="102"/>
      <c r="I39" s="102"/>
      <c r="J39" s="102"/>
      <c r="K39" s="102"/>
      <c r="L39" s="102"/>
      <c r="M39" s="102"/>
      <c r="N39" s="102"/>
      <c r="O39" s="102"/>
      <c r="P39" s="102"/>
      <c r="Q39" s="102">
        <v>3229</v>
      </c>
      <c r="R39" s="102"/>
      <c r="S39" s="102"/>
      <c r="T39" s="102"/>
      <c r="U39" s="102"/>
      <c r="V39" s="102"/>
      <c r="W39" s="102"/>
      <c r="X39" s="102">
        <f t="shared" si="18"/>
        <v>189329</v>
      </c>
      <c r="Y39" s="102">
        <f t="shared" si="20"/>
        <v>176822</v>
      </c>
      <c r="Z39" s="102">
        <f t="shared" si="20"/>
        <v>176822</v>
      </c>
      <c r="AA39" s="102">
        <f t="shared" si="19"/>
        <v>580313</v>
      </c>
      <c r="AB39" s="102">
        <f t="shared" si="19"/>
        <v>379082</v>
      </c>
      <c r="AC39" s="102">
        <f t="shared" si="19"/>
        <v>310403</v>
      </c>
      <c r="AE39" s="632">
        <f>2679821+600000</f>
        <v>3279821</v>
      </c>
      <c r="AF39" s="632">
        <f>+AE39-AE38</f>
        <v>176823</v>
      </c>
      <c r="AG39" s="632">
        <f>1610470+1696461</f>
        <v>3306931</v>
      </c>
      <c r="AH39" s="632">
        <f>+AG39-AG38</f>
        <v>310401</v>
      </c>
      <c r="AI39" s="632">
        <v>682448</v>
      </c>
      <c r="AJ39" s="632">
        <f>+AI39-AI38</f>
        <v>84227</v>
      </c>
    </row>
    <row r="40" spans="1:38" x14ac:dyDescent="0.2">
      <c r="A40" s="104" t="s">
        <v>10</v>
      </c>
      <c r="B40" s="102">
        <v>189329</v>
      </c>
      <c r="C40" s="102">
        <v>540516</v>
      </c>
      <c r="D40" s="102">
        <v>537819</v>
      </c>
      <c r="E40" s="102">
        <f>15000+12500+24000+75000+26666+30000+384326+200000+37092</f>
        <v>804584</v>
      </c>
      <c r="F40" s="102">
        <v>664921</v>
      </c>
      <c r="G40" s="102">
        <v>593646</v>
      </c>
      <c r="H40" s="102"/>
      <c r="I40" s="102"/>
      <c r="J40" s="102">
        <v>600000</v>
      </c>
      <c r="K40" s="102"/>
      <c r="L40" s="102">
        <v>0</v>
      </c>
      <c r="M40" s="102">
        <v>-139086</v>
      </c>
      <c r="N40" s="102">
        <v>500000</v>
      </c>
      <c r="O40" s="102">
        <v>500000</v>
      </c>
      <c r="P40" s="102">
        <v>-300000</v>
      </c>
      <c r="Q40" s="102">
        <f>3229+1292+1250+1954</f>
        <v>7725</v>
      </c>
      <c r="R40" s="102">
        <v>139086</v>
      </c>
      <c r="S40" s="102">
        <v>139086</v>
      </c>
      <c r="T40" s="102"/>
      <c r="U40" s="102"/>
      <c r="V40" s="102"/>
      <c r="W40" s="102"/>
      <c r="X40" s="102">
        <f t="shared" si="18"/>
        <v>689329</v>
      </c>
      <c r="Y40" s="102">
        <f t="shared" si="20"/>
        <v>1040516</v>
      </c>
      <c r="Z40" s="102">
        <f>+P40+D40+J40</f>
        <v>837819</v>
      </c>
      <c r="AA40" s="102">
        <f t="shared" si="19"/>
        <v>812309</v>
      </c>
      <c r="AB40" s="102">
        <f t="shared" si="19"/>
        <v>804007</v>
      </c>
      <c r="AC40" s="102">
        <f t="shared" si="19"/>
        <v>593646</v>
      </c>
      <c r="AE40" s="632">
        <f>2928726+1193392</f>
        <v>4122118</v>
      </c>
      <c r="AF40" s="632">
        <f>+AE40-AE39</f>
        <v>842297</v>
      </c>
      <c r="AG40" s="632">
        <f>2025716+1860602</f>
        <v>3886318</v>
      </c>
      <c r="AH40" s="632">
        <f>+AG40-AG39</f>
        <v>579387</v>
      </c>
      <c r="AI40" s="632">
        <f>978559+35454</f>
        <v>1014013</v>
      </c>
      <c r="AJ40" s="632">
        <f>+AI40-AI39</f>
        <v>331565</v>
      </c>
    </row>
    <row r="41" spans="1:38" x14ac:dyDescent="0.2">
      <c r="A41" s="104" t="s">
        <v>11</v>
      </c>
      <c r="B41" s="102">
        <v>189329</v>
      </c>
      <c r="C41" s="102">
        <v>161701</v>
      </c>
      <c r="D41" s="102">
        <v>161701</v>
      </c>
      <c r="E41" s="102">
        <f>15000+12500+20000+24000+26666+260350+384326+37092</f>
        <v>779934</v>
      </c>
      <c r="F41" s="102">
        <v>768127</v>
      </c>
      <c r="G41" s="102">
        <v>768127</v>
      </c>
      <c r="H41" s="102"/>
      <c r="I41" s="102"/>
      <c r="J41" s="102">
        <v>100000</v>
      </c>
      <c r="K41" s="102"/>
      <c r="L41" s="102"/>
      <c r="M41" s="102"/>
      <c r="N41" s="102">
        <v>700000</v>
      </c>
      <c r="O41" s="102">
        <v>700000</v>
      </c>
      <c r="P41" s="102">
        <v>250000</v>
      </c>
      <c r="Q41" s="102">
        <f>3229+7500</f>
        <v>10729</v>
      </c>
      <c r="R41" s="102"/>
      <c r="S41" s="102"/>
      <c r="T41" s="102"/>
      <c r="U41" s="102"/>
      <c r="V41" s="102"/>
      <c r="W41" s="102"/>
      <c r="X41" s="102">
        <f t="shared" si="18"/>
        <v>889329</v>
      </c>
      <c r="Y41" s="102">
        <f t="shared" si="20"/>
        <v>861701</v>
      </c>
      <c r="Z41" s="102">
        <f t="shared" si="20"/>
        <v>511701</v>
      </c>
      <c r="AA41" s="102">
        <f t="shared" si="19"/>
        <v>790663</v>
      </c>
      <c r="AB41" s="102">
        <f t="shared" si="19"/>
        <v>768127</v>
      </c>
      <c r="AC41" s="102">
        <f t="shared" si="19"/>
        <v>768127</v>
      </c>
      <c r="AE41" s="632">
        <v>4632430</v>
      </c>
      <c r="AF41" s="632">
        <f t="shared" ref="AF41:AF43" si="21">+AE41-AE40</f>
        <v>510312</v>
      </c>
      <c r="AG41" s="632">
        <v>4633936</v>
      </c>
      <c r="AH41" s="632">
        <f t="shared" ref="AH41:AH43" si="22">+AG41-AG40</f>
        <v>747618</v>
      </c>
      <c r="AI41" s="632">
        <f>978559+35454</f>
        <v>1014013</v>
      </c>
      <c r="AJ41" s="632">
        <f t="shared" ref="AJ41:AJ43" si="23">+AI41-AI40</f>
        <v>0</v>
      </c>
      <c r="AK41" s="626"/>
      <c r="AL41" s="626"/>
    </row>
    <row r="42" spans="1:38" x14ac:dyDescent="0.2">
      <c r="A42" s="104" t="s">
        <v>12</v>
      </c>
      <c r="B42" s="102">
        <v>189329</v>
      </c>
      <c r="C42" s="102">
        <v>126881</v>
      </c>
      <c r="D42" s="102">
        <v>126881</v>
      </c>
      <c r="E42" s="102">
        <f>20000+24000+26666+260350+384326+37092</f>
        <v>752434</v>
      </c>
      <c r="F42" s="102">
        <v>537086</v>
      </c>
      <c r="G42" s="102">
        <v>468407</v>
      </c>
      <c r="H42" s="102"/>
      <c r="I42" s="102"/>
      <c r="J42" s="102">
        <v>390000</v>
      </c>
      <c r="K42" s="102"/>
      <c r="L42" s="102"/>
      <c r="M42" s="102"/>
      <c r="N42" s="102"/>
      <c r="O42" s="102"/>
      <c r="P42" s="102">
        <v>-250000</v>
      </c>
      <c r="Q42" s="102">
        <v>3229</v>
      </c>
      <c r="R42" s="102"/>
      <c r="S42" s="102"/>
      <c r="T42" s="102"/>
      <c r="U42" s="102"/>
      <c r="V42" s="102"/>
      <c r="W42" s="102"/>
      <c r="X42" s="102">
        <f t="shared" si="18"/>
        <v>189329</v>
      </c>
      <c r="Y42" s="102">
        <f t="shared" si="20"/>
        <v>126881</v>
      </c>
      <c r="Z42" s="102">
        <f t="shared" si="20"/>
        <v>266881</v>
      </c>
      <c r="AA42" s="102">
        <f t="shared" si="19"/>
        <v>755663</v>
      </c>
      <c r="AB42" s="102">
        <f t="shared" si="19"/>
        <v>537086</v>
      </c>
      <c r="AC42" s="102">
        <f t="shared" si="19"/>
        <v>468407</v>
      </c>
      <c r="AE42" s="632">
        <v>4874826</v>
      </c>
      <c r="AF42" s="632">
        <f t="shared" si="21"/>
        <v>242396</v>
      </c>
      <c r="AG42" s="632">
        <v>5082919</v>
      </c>
      <c r="AH42" s="632">
        <f t="shared" si="22"/>
        <v>448983</v>
      </c>
      <c r="AI42" s="632">
        <f t="shared" ref="AI42:AI43" si="24">978559+35454</f>
        <v>1014013</v>
      </c>
      <c r="AJ42" s="632">
        <f t="shared" si="23"/>
        <v>0</v>
      </c>
      <c r="AK42" s="626"/>
      <c r="AL42" s="626"/>
    </row>
    <row r="43" spans="1:38" x14ac:dyDescent="0.2">
      <c r="A43" s="104" t="s">
        <v>13</v>
      </c>
      <c r="B43" s="624">
        <f>3840700/2+189329</f>
        <v>2109679</v>
      </c>
      <c r="C43" s="102">
        <v>2077964</v>
      </c>
      <c r="D43" s="624">
        <v>1560382</v>
      </c>
      <c r="E43" s="102">
        <f>24000+384326+37092</f>
        <v>445418</v>
      </c>
      <c r="F43" s="102">
        <v>723206</v>
      </c>
      <c r="G43" s="102">
        <v>723206</v>
      </c>
      <c r="H43" s="102"/>
      <c r="I43" s="102"/>
      <c r="J43" s="102">
        <v>20000</v>
      </c>
      <c r="K43" s="102"/>
      <c r="L43" s="102"/>
      <c r="M43" s="102"/>
      <c r="N43" s="102"/>
      <c r="O43" s="102"/>
      <c r="P43" s="102"/>
      <c r="Q43" s="102">
        <f>3229+1291+1250+1553+1955+17951</f>
        <v>27229</v>
      </c>
      <c r="R43" s="102"/>
      <c r="S43" s="102"/>
      <c r="T43" s="102"/>
      <c r="U43" s="102"/>
      <c r="V43" s="102"/>
      <c r="W43" s="102"/>
      <c r="X43" s="102">
        <f t="shared" si="18"/>
        <v>2109679</v>
      </c>
      <c r="Y43" s="102">
        <f t="shared" si="20"/>
        <v>2077964</v>
      </c>
      <c r="Z43" s="102">
        <f t="shared" si="20"/>
        <v>1580382</v>
      </c>
      <c r="AA43" s="102">
        <f t="shared" si="19"/>
        <v>472647</v>
      </c>
      <c r="AB43" s="102">
        <f t="shared" si="19"/>
        <v>723206</v>
      </c>
      <c r="AC43" s="102">
        <f t="shared" si="19"/>
        <v>723206</v>
      </c>
      <c r="AE43" s="632">
        <v>6455265</v>
      </c>
      <c r="AF43" s="632">
        <f t="shared" si="21"/>
        <v>1580439</v>
      </c>
      <c r="AG43" s="632">
        <v>5805922</v>
      </c>
      <c r="AH43" s="632">
        <f t="shared" si="22"/>
        <v>723003</v>
      </c>
      <c r="AI43" s="632">
        <f t="shared" si="24"/>
        <v>1014013</v>
      </c>
      <c r="AJ43" s="632">
        <f t="shared" si="23"/>
        <v>0</v>
      </c>
      <c r="AK43" s="626"/>
      <c r="AL43" s="626"/>
    </row>
    <row r="44" spans="1:38" x14ac:dyDescent="0.2">
      <c r="A44" s="104" t="s">
        <v>14</v>
      </c>
      <c r="B44" s="102">
        <v>189329</v>
      </c>
      <c r="C44" s="102">
        <v>215294</v>
      </c>
      <c r="D44" s="102">
        <v>215294</v>
      </c>
      <c r="E44" s="102">
        <f>384326+37092</f>
        <v>421418</v>
      </c>
      <c r="F44" s="102">
        <v>913485</v>
      </c>
      <c r="G44" s="102">
        <v>913485</v>
      </c>
      <c r="H44" s="102"/>
      <c r="I44" s="102"/>
      <c r="J44" s="102"/>
      <c r="K44" s="102"/>
      <c r="L44" s="102"/>
      <c r="M44" s="102"/>
      <c r="N44" s="102"/>
      <c r="O44" s="102"/>
      <c r="P44" s="102"/>
      <c r="Q44" s="633"/>
      <c r="R44" s="633"/>
      <c r="S44" s="633"/>
      <c r="T44" s="102"/>
      <c r="U44" s="102"/>
      <c r="V44" s="102"/>
      <c r="W44" s="102"/>
      <c r="X44" s="102">
        <f t="shared" si="18"/>
        <v>189329</v>
      </c>
      <c r="Y44" s="102">
        <f t="shared" si="20"/>
        <v>215294</v>
      </c>
      <c r="Z44" s="102">
        <f t="shared" si="20"/>
        <v>215294</v>
      </c>
      <c r="AA44" s="102">
        <f t="shared" si="19"/>
        <v>421418</v>
      </c>
      <c r="AB44" s="102">
        <f t="shared" si="19"/>
        <v>913485</v>
      </c>
      <c r="AC44" s="102">
        <f t="shared" si="19"/>
        <v>913485</v>
      </c>
      <c r="AE44" s="632"/>
      <c r="AF44" s="632"/>
      <c r="AG44" s="632"/>
      <c r="AH44" s="632"/>
      <c r="AI44" s="632"/>
    </row>
    <row r="45" spans="1:38" x14ac:dyDescent="0.2">
      <c r="A45" s="104" t="s">
        <v>15</v>
      </c>
      <c r="B45" s="102">
        <v>189329</v>
      </c>
      <c r="C45" s="102">
        <v>135662</v>
      </c>
      <c r="D45" s="102">
        <v>135662</v>
      </c>
      <c r="E45" s="102">
        <f>150000+384326+37092</f>
        <v>571418</v>
      </c>
      <c r="F45" s="102">
        <v>424144</v>
      </c>
      <c r="G45" s="102">
        <v>424144</v>
      </c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>
        <f t="shared" si="18"/>
        <v>189329</v>
      </c>
      <c r="Y45" s="102">
        <f t="shared" si="20"/>
        <v>135662</v>
      </c>
      <c r="Z45" s="102">
        <f t="shared" si="20"/>
        <v>135662</v>
      </c>
      <c r="AA45" s="102">
        <f t="shared" si="19"/>
        <v>571418</v>
      </c>
      <c r="AB45" s="102">
        <f t="shared" si="19"/>
        <v>424144</v>
      </c>
      <c r="AC45" s="102">
        <f t="shared" si="19"/>
        <v>424144</v>
      </c>
      <c r="AE45" s="632"/>
      <c r="AF45" s="632"/>
      <c r="AG45" s="632"/>
      <c r="AH45" s="632"/>
      <c r="AI45" s="632"/>
    </row>
    <row r="46" spans="1:38" x14ac:dyDescent="0.2">
      <c r="A46" s="104" t="s">
        <v>16</v>
      </c>
      <c r="B46" s="102">
        <v>189328</v>
      </c>
      <c r="C46" s="102">
        <v>364030</v>
      </c>
      <c r="D46" s="102">
        <v>364030</v>
      </c>
      <c r="E46" s="102">
        <f>150000+384322+37094</f>
        <v>571416</v>
      </c>
      <c r="F46" s="102">
        <v>733056</v>
      </c>
      <c r="G46" s="102">
        <v>730358</v>
      </c>
      <c r="H46" s="102"/>
      <c r="I46" s="102"/>
      <c r="J46" s="102">
        <v>-1110000</v>
      </c>
      <c r="K46" s="102">
        <v>180000</v>
      </c>
      <c r="L46" s="102"/>
      <c r="M46" s="102"/>
      <c r="N46" s="102"/>
      <c r="O46" s="102">
        <v>1891458</v>
      </c>
      <c r="P46" s="102">
        <v>1891458</v>
      </c>
      <c r="Q46" s="102">
        <v>180000</v>
      </c>
      <c r="R46" s="102">
        <v>1891458</v>
      </c>
      <c r="S46" s="102"/>
      <c r="T46" s="102"/>
      <c r="U46" s="102"/>
      <c r="V46" s="102"/>
      <c r="W46" s="102"/>
      <c r="X46" s="102">
        <f t="shared" si="18"/>
        <v>189328</v>
      </c>
      <c r="Y46" s="102">
        <f t="shared" si="20"/>
        <v>2255488</v>
      </c>
      <c r="Z46" s="102">
        <f t="shared" si="20"/>
        <v>1145488</v>
      </c>
      <c r="AA46" s="102">
        <f t="shared" si="19"/>
        <v>931416</v>
      </c>
      <c r="AB46" s="102">
        <f t="shared" si="19"/>
        <v>2624514</v>
      </c>
      <c r="AC46" s="102">
        <f t="shared" si="19"/>
        <v>730358</v>
      </c>
      <c r="AE46" s="632"/>
      <c r="AF46" s="632"/>
      <c r="AG46" s="632"/>
      <c r="AH46" s="632"/>
      <c r="AI46" s="632"/>
    </row>
    <row r="47" spans="1:38" x14ac:dyDescent="0.2">
      <c r="A47" s="634" t="s">
        <v>17</v>
      </c>
      <c r="B47" s="113">
        <f>SUM(B35:B46)</f>
        <v>6112647</v>
      </c>
      <c r="C47" s="113">
        <f t="shared" ref="C47:AC47" si="25">SUM(C35:C46)</f>
        <v>6642601</v>
      </c>
      <c r="D47" s="113">
        <f t="shared" si="25"/>
        <v>5781590</v>
      </c>
      <c r="E47" s="113">
        <f t="shared" si="25"/>
        <v>6753465</v>
      </c>
      <c r="F47" s="113">
        <f>SUM(F35:F46)</f>
        <v>7128588</v>
      </c>
      <c r="G47" s="113">
        <f t="shared" si="25"/>
        <v>6915143</v>
      </c>
      <c r="H47" s="113">
        <f t="shared" si="25"/>
        <v>180000</v>
      </c>
      <c r="I47" s="113">
        <f t="shared" si="25"/>
        <v>300000</v>
      </c>
      <c r="J47" s="113">
        <f t="shared" si="25"/>
        <v>300000</v>
      </c>
      <c r="K47" s="113">
        <f t="shared" si="25"/>
        <v>180000</v>
      </c>
      <c r="L47" s="113">
        <f t="shared" si="25"/>
        <v>300000</v>
      </c>
      <c r="M47" s="113">
        <f t="shared" si="25"/>
        <v>300000</v>
      </c>
      <c r="N47" s="113">
        <f t="shared" si="25"/>
        <v>1530000</v>
      </c>
      <c r="O47" s="113">
        <f t="shared" si="25"/>
        <v>3091458</v>
      </c>
      <c r="P47" s="113">
        <f t="shared" si="25"/>
        <v>1891458</v>
      </c>
      <c r="Q47" s="113">
        <f t="shared" si="25"/>
        <v>844285</v>
      </c>
      <c r="R47" s="113">
        <f t="shared" si="25"/>
        <v>2570017</v>
      </c>
      <c r="S47" s="113">
        <f t="shared" si="25"/>
        <v>678559</v>
      </c>
      <c r="T47" s="113">
        <f t="shared" si="25"/>
        <v>0</v>
      </c>
      <c r="U47" s="113">
        <f t="shared" si="25"/>
        <v>44897</v>
      </c>
      <c r="V47" s="113">
        <f t="shared" si="25"/>
        <v>35454</v>
      </c>
      <c r="W47" s="113">
        <f t="shared" si="25"/>
        <v>35454</v>
      </c>
      <c r="X47" s="113">
        <f t="shared" si="25"/>
        <v>7822647</v>
      </c>
      <c r="Y47" s="113">
        <f t="shared" si="25"/>
        <v>10034059</v>
      </c>
      <c r="Z47" s="113">
        <f t="shared" si="25"/>
        <v>7973048</v>
      </c>
      <c r="AA47" s="113">
        <f t="shared" si="25"/>
        <v>7822647</v>
      </c>
      <c r="AB47" s="113">
        <f t="shared" si="25"/>
        <v>10034059</v>
      </c>
      <c r="AC47" s="113">
        <f t="shared" si="25"/>
        <v>7929156</v>
      </c>
      <c r="AE47" s="632"/>
      <c r="AF47" s="632"/>
      <c r="AG47" s="632"/>
      <c r="AH47" s="632"/>
      <c r="AI47" s="632"/>
    </row>
    <row r="48" spans="1:38" x14ac:dyDescent="0.2">
      <c r="I48" s="626"/>
      <c r="J48" s="626"/>
      <c r="S48" s="626"/>
    </row>
    <row r="49" spans="10:29" x14ac:dyDescent="0.2">
      <c r="X49" s="626"/>
      <c r="Y49" s="626"/>
      <c r="Z49" s="626"/>
      <c r="AA49" s="626"/>
      <c r="AB49" s="626"/>
      <c r="AC49" s="626"/>
    </row>
    <row r="50" spans="10:29" x14ac:dyDescent="0.2">
      <c r="J50" s="626"/>
      <c r="K50" s="626"/>
      <c r="L50" s="626"/>
      <c r="Y50" s="626"/>
      <c r="AB50" s="626"/>
    </row>
    <row r="51" spans="10:29" x14ac:dyDescent="0.2">
      <c r="J51" s="626"/>
      <c r="K51" s="626"/>
      <c r="L51" s="626"/>
      <c r="Y51" s="626"/>
      <c r="AB51" s="626"/>
    </row>
    <row r="52" spans="10:29" x14ac:dyDescent="0.2">
      <c r="J52" s="626"/>
      <c r="K52" s="626"/>
      <c r="L52" s="626"/>
      <c r="Y52" s="626"/>
      <c r="AB52" s="626"/>
    </row>
    <row r="53" spans="10:29" x14ac:dyDescent="0.2">
      <c r="J53" s="626"/>
      <c r="K53" s="626"/>
      <c r="L53" s="626"/>
      <c r="Y53" s="626"/>
      <c r="AB53" s="626"/>
    </row>
    <row r="54" spans="10:29" x14ac:dyDescent="0.2">
      <c r="J54" s="626"/>
      <c r="K54" s="626"/>
      <c r="L54" s="626"/>
      <c r="Y54" s="626"/>
      <c r="AB54" s="626"/>
    </row>
    <row r="55" spans="10:29" x14ac:dyDescent="0.2">
      <c r="J55" s="626"/>
      <c r="K55" s="626"/>
      <c r="L55" s="626"/>
      <c r="Y55" s="626"/>
      <c r="AB55" s="626"/>
    </row>
    <row r="56" spans="10:29" x14ac:dyDescent="0.2">
      <c r="J56" s="626"/>
      <c r="K56" s="626"/>
      <c r="L56" s="626"/>
      <c r="Y56" s="626"/>
      <c r="AB56" s="626"/>
    </row>
    <row r="57" spans="10:29" x14ac:dyDescent="0.2">
      <c r="J57" s="626"/>
      <c r="K57" s="626"/>
      <c r="L57" s="626"/>
      <c r="Y57" s="626"/>
      <c r="AB57" s="626"/>
    </row>
    <row r="58" spans="10:29" x14ac:dyDescent="0.2">
      <c r="J58" s="626"/>
      <c r="K58" s="626"/>
      <c r="L58" s="626"/>
      <c r="Y58" s="626"/>
      <c r="AB58" s="626"/>
    </row>
    <row r="59" spans="10:29" x14ac:dyDescent="0.2">
      <c r="J59" s="626"/>
      <c r="K59" s="626"/>
      <c r="L59" s="626"/>
      <c r="Y59" s="626"/>
      <c r="AB59" s="626"/>
    </row>
    <row r="60" spans="10:29" x14ac:dyDescent="0.2">
      <c r="J60" s="626"/>
      <c r="K60" s="626"/>
      <c r="L60" s="626"/>
      <c r="Y60" s="626"/>
      <c r="AB60" s="626"/>
    </row>
    <row r="61" spans="10:29" x14ac:dyDescent="0.2">
      <c r="J61" s="626"/>
      <c r="K61" s="626"/>
      <c r="L61" s="626"/>
      <c r="Y61" s="626"/>
      <c r="AB61" s="626"/>
    </row>
    <row r="62" spans="10:29" x14ac:dyDescent="0.2">
      <c r="J62" s="626"/>
      <c r="K62" s="626"/>
      <c r="L62" s="626"/>
      <c r="Y62" s="626"/>
      <c r="AB62" s="626"/>
    </row>
    <row r="63" spans="10:29" x14ac:dyDescent="0.2">
      <c r="J63" s="626"/>
      <c r="K63" s="626"/>
      <c r="L63" s="626"/>
      <c r="Y63" s="626"/>
    </row>
    <row r="64" spans="10:29" x14ac:dyDescent="0.2">
      <c r="L64" s="626"/>
      <c r="Y64" s="626"/>
      <c r="AC64" s="626"/>
    </row>
    <row r="68" spans="1:23" x14ac:dyDescent="0.2">
      <c r="I68" s="638"/>
      <c r="J68" s="628" t="s">
        <v>1847</v>
      </c>
    </row>
    <row r="69" spans="1:23" x14ac:dyDescent="0.2">
      <c r="Q69" s="626"/>
      <c r="W69" s="628" t="s">
        <v>1848</v>
      </c>
    </row>
    <row r="70" spans="1:23" x14ac:dyDescent="0.2">
      <c r="A70" s="928" t="s">
        <v>132</v>
      </c>
      <c r="B70" s="928"/>
      <c r="C70" s="928"/>
      <c r="D70" s="928"/>
      <c r="E70" s="928"/>
      <c r="F70" s="928"/>
      <c r="G70" s="639"/>
      <c r="H70" s="639"/>
      <c r="I70" s="639"/>
      <c r="N70" s="928" t="s">
        <v>132</v>
      </c>
      <c r="O70" s="928"/>
      <c r="P70" s="928"/>
      <c r="Q70" s="928"/>
      <c r="R70" s="928"/>
      <c r="S70" s="928"/>
      <c r="T70" s="928"/>
      <c r="U70" s="928"/>
      <c r="V70" s="928"/>
    </row>
    <row r="72" spans="1:23" x14ac:dyDescent="0.2">
      <c r="A72" s="630" t="s">
        <v>322</v>
      </c>
      <c r="B72" s="630"/>
      <c r="C72" s="630"/>
      <c r="D72" s="630"/>
      <c r="E72" s="630"/>
      <c r="F72" s="630"/>
      <c r="G72" s="630"/>
      <c r="H72" s="630"/>
      <c r="I72" s="630"/>
      <c r="N72" s="640"/>
      <c r="O72" s="640"/>
      <c r="P72" s="640"/>
      <c r="Q72" s="640"/>
      <c r="R72" s="640"/>
      <c r="S72" s="640"/>
      <c r="T72" s="640"/>
      <c r="U72" s="640"/>
      <c r="V72" s="640"/>
      <c r="W72" s="641"/>
    </row>
    <row r="73" spans="1:23" x14ac:dyDescent="0.2">
      <c r="A73" s="630"/>
      <c r="B73" s="630"/>
      <c r="C73" s="630"/>
      <c r="D73" s="630"/>
      <c r="E73" s="630"/>
      <c r="G73" s="630"/>
      <c r="H73" s="630"/>
      <c r="J73" s="628" t="s">
        <v>0</v>
      </c>
      <c r="N73" s="641"/>
      <c r="O73" s="641"/>
      <c r="P73" s="641"/>
      <c r="Q73" s="641"/>
      <c r="R73" s="641"/>
      <c r="S73" s="641"/>
      <c r="T73" s="641"/>
      <c r="U73" s="641"/>
      <c r="V73" s="641"/>
      <c r="W73" s="641"/>
    </row>
    <row r="74" spans="1:23" x14ac:dyDescent="0.2">
      <c r="A74" s="630"/>
      <c r="B74" s="630"/>
      <c r="C74" s="630"/>
      <c r="D74" s="630"/>
      <c r="E74" s="630"/>
      <c r="F74" s="628"/>
      <c r="G74" s="630"/>
      <c r="H74" s="630"/>
      <c r="N74" s="641"/>
      <c r="O74" s="641"/>
      <c r="P74" s="641"/>
      <c r="Q74" s="641"/>
      <c r="R74" s="641"/>
      <c r="S74" s="641"/>
      <c r="T74" s="641"/>
      <c r="U74" s="641"/>
      <c r="V74" s="641"/>
      <c r="W74" s="642"/>
    </row>
    <row r="75" spans="1:23" ht="13.5" thickBot="1" x14ac:dyDescent="0.25">
      <c r="A75" s="630"/>
      <c r="B75" s="630"/>
      <c r="C75" s="630"/>
      <c r="D75" s="630"/>
      <c r="E75" s="630"/>
      <c r="F75" s="628"/>
      <c r="G75" s="630"/>
      <c r="H75" s="630"/>
      <c r="N75" s="641" t="s">
        <v>358</v>
      </c>
      <c r="O75" s="641"/>
      <c r="P75" s="641"/>
      <c r="Q75" s="641"/>
      <c r="R75" s="641"/>
      <c r="S75" s="641"/>
      <c r="T75" s="641"/>
      <c r="U75" s="641"/>
      <c r="V75" s="641"/>
      <c r="W75" s="641"/>
    </row>
    <row r="76" spans="1:23" x14ac:dyDescent="0.2">
      <c r="A76" s="929" t="s">
        <v>2</v>
      </c>
      <c r="B76" s="941"/>
      <c r="C76" s="930"/>
      <c r="D76" s="942"/>
      <c r="E76" s="941"/>
      <c r="F76" s="930"/>
      <c r="G76" s="942"/>
      <c r="H76" s="941"/>
      <c r="I76" s="930"/>
      <c r="J76" s="942"/>
      <c r="N76" s="938" t="s">
        <v>2</v>
      </c>
      <c r="O76" s="932" t="s">
        <v>396</v>
      </c>
      <c r="P76" s="933"/>
      <c r="Q76" s="934"/>
      <c r="R76" s="932" t="s">
        <v>396</v>
      </c>
      <c r="S76" s="933"/>
      <c r="T76" s="934"/>
      <c r="U76" s="932" t="s">
        <v>396</v>
      </c>
      <c r="V76" s="933"/>
      <c r="W76" s="934"/>
    </row>
    <row r="77" spans="1:23" ht="12.75" customHeight="1" x14ac:dyDescent="0.2">
      <c r="A77" s="929"/>
      <c r="B77" s="622"/>
      <c r="C77" s="643" t="s">
        <v>562</v>
      </c>
      <c r="D77" s="644"/>
      <c r="E77" s="622"/>
      <c r="F77" s="643" t="s">
        <v>1309</v>
      </c>
      <c r="G77" s="644"/>
      <c r="H77" s="622"/>
      <c r="I77" s="643" t="s">
        <v>1312</v>
      </c>
      <c r="J77" s="644"/>
      <c r="N77" s="939"/>
      <c r="O77" s="935" t="s">
        <v>562</v>
      </c>
      <c r="P77" s="936"/>
      <c r="Q77" s="937"/>
      <c r="R77" s="935" t="s">
        <v>1309</v>
      </c>
      <c r="S77" s="936"/>
      <c r="T77" s="937"/>
      <c r="U77" s="935" t="s">
        <v>1312</v>
      </c>
      <c r="V77" s="936"/>
      <c r="W77" s="937"/>
    </row>
    <row r="78" spans="1:23" x14ac:dyDescent="0.2">
      <c r="A78" s="929"/>
      <c r="B78" s="941" t="s">
        <v>3</v>
      </c>
      <c r="C78" s="923"/>
      <c r="D78" s="920" t="s">
        <v>4</v>
      </c>
      <c r="E78" s="941" t="s">
        <v>3</v>
      </c>
      <c r="F78" s="923"/>
      <c r="G78" s="920" t="s">
        <v>4</v>
      </c>
      <c r="H78" s="941" t="s">
        <v>3</v>
      </c>
      <c r="I78" s="923"/>
      <c r="J78" s="920" t="s">
        <v>4</v>
      </c>
      <c r="N78" s="939"/>
      <c r="O78" s="924" t="s">
        <v>3</v>
      </c>
      <c r="P78" s="925"/>
      <c r="Q78" s="926" t="s">
        <v>4</v>
      </c>
      <c r="R78" s="924" t="s">
        <v>3</v>
      </c>
      <c r="S78" s="925"/>
      <c r="T78" s="926" t="s">
        <v>4</v>
      </c>
      <c r="U78" s="924" t="s">
        <v>3</v>
      </c>
      <c r="V78" s="925"/>
      <c r="W78" s="926" t="s">
        <v>4</v>
      </c>
    </row>
    <row r="79" spans="1:23" ht="34.5" thickBot="1" x14ac:dyDescent="0.25">
      <c r="A79" s="205"/>
      <c r="B79" s="205" t="s">
        <v>390</v>
      </c>
      <c r="C79" s="205" t="s">
        <v>391</v>
      </c>
      <c r="D79" s="921"/>
      <c r="E79" s="205" t="s">
        <v>390</v>
      </c>
      <c r="F79" s="205" t="s">
        <v>391</v>
      </c>
      <c r="G79" s="921"/>
      <c r="H79" s="205" t="s">
        <v>390</v>
      </c>
      <c r="I79" s="205" t="s">
        <v>391</v>
      </c>
      <c r="J79" s="921"/>
      <c r="N79" s="940"/>
      <c r="O79" s="645" t="s">
        <v>390</v>
      </c>
      <c r="P79" s="289" t="s">
        <v>391</v>
      </c>
      <c r="Q79" s="927"/>
      <c r="R79" s="645" t="s">
        <v>390</v>
      </c>
      <c r="S79" s="289" t="s">
        <v>391</v>
      </c>
      <c r="T79" s="927"/>
      <c r="U79" s="645" t="s">
        <v>390</v>
      </c>
      <c r="V79" s="289" t="s">
        <v>391</v>
      </c>
      <c r="W79" s="927"/>
    </row>
    <row r="80" spans="1:23" x14ac:dyDescent="0.2">
      <c r="A80" s="104" t="s">
        <v>5</v>
      </c>
      <c r="B80" s="102">
        <v>579</v>
      </c>
      <c r="C80" s="102">
        <f>37373+814</f>
        <v>38187</v>
      </c>
      <c r="D80" s="102">
        <f>37952+814</f>
        <v>38766</v>
      </c>
      <c r="E80" s="102">
        <v>112</v>
      </c>
      <c r="F80" s="102">
        <v>38065</v>
      </c>
      <c r="G80" s="102">
        <v>38177</v>
      </c>
      <c r="H80" s="102">
        <v>157</v>
      </c>
      <c r="I80" s="102">
        <v>34064</v>
      </c>
      <c r="J80" s="102">
        <v>37336</v>
      </c>
      <c r="N80" s="646" t="s">
        <v>5</v>
      </c>
      <c r="O80" s="647">
        <f>49800+5831</f>
        <v>55631</v>
      </c>
      <c r="P80" s="648">
        <f>+Q80-O80</f>
        <v>35899</v>
      </c>
      <c r="Q80" s="649">
        <v>91530</v>
      </c>
      <c r="R80" s="647">
        <v>38210</v>
      </c>
      <c r="S80" s="648">
        <v>20861</v>
      </c>
      <c r="T80" s="649">
        <v>72204</v>
      </c>
      <c r="U80" s="647">
        <v>38210</v>
      </c>
      <c r="V80" s="648">
        <v>20861</v>
      </c>
      <c r="W80" s="649">
        <v>72204</v>
      </c>
    </row>
    <row r="81" spans="1:23" x14ac:dyDescent="0.2">
      <c r="A81" s="104" t="s">
        <v>6</v>
      </c>
      <c r="B81" s="102">
        <v>579</v>
      </c>
      <c r="C81" s="102">
        <v>37373</v>
      </c>
      <c r="D81" s="102">
        <v>37952</v>
      </c>
      <c r="E81" s="102">
        <v>909</v>
      </c>
      <c r="F81" s="102">
        <v>30485</v>
      </c>
      <c r="G81" s="102">
        <v>31394</v>
      </c>
      <c r="H81" s="102">
        <v>112</v>
      </c>
      <c r="I81" s="102">
        <v>30485</v>
      </c>
      <c r="J81" s="102">
        <v>30491</v>
      </c>
      <c r="N81" s="650" t="s">
        <v>6</v>
      </c>
      <c r="O81" s="651">
        <v>53525</v>
      </c>
      <c r="P81" s="102">
        <f t="shared" ref="P81:P91" si="26">+Q81-O81</f>
        <v>45505</v>
      </c>
      <c r="Q81" s="652">
        <v>99030</v>
      </c>
      <c r="R81" s="651">
        <v>45177</v>
      </c>
      <c r="S81" s="102">
        <v>35121</v>
      </c>
      <c r="T81" s="652">
        <v>76579</v>
      </c>
      <c r="U81" s="651">
        <v>45177</v>
      </c>
      <c r="V81" s="102">
        <v>35121</v>
      </c>
      <c r="W81" s="652">
        <v>76579</v>
      </c>
    </row>
    <row r="82" spans="1:23" x14ac:dyDescent="0.2">
      <c r="A82" s="104" t="s">
        <v>7</v>
      </c>
      <c r="B82" s="102">
        <v>579</v>
      </c>
      <c r="C82" s="102">
        <v>37373</v>
      </c>
      <c r="D82" s="102">
        <v>37952</v>
      </c>
      <c r="E82" s="102">
        <v>954</v>
      </c>
      <c r="F82" s="102">
        <v>42650</v>
      </c>
      <c r="G82" s="102">
        <v>43604</v>
      </c>
      <c r="H82" s="102">
        <v>140</v>
      </c>
      <c r="I82" s="102">
        <v>42650</v>
      </c>
      <c r="J82" s="102">
        <v>37583</v>
      </c>
      <c r="N82" s="650" t="s">
        <v>7</v>
      </c>
      <c r="O82" s="651">
        <v>53525</v>
      </c>
      <c r="P82" s="102">
        <f t="shared" si="26"/>
        <v>58005</v>
      </c>
      <c r="Q82" s="652">
        <v>111530</v>
      </c>
      <c r="R82" s="651">
        <f>5831+65898</f>
        <v>71729</v>
      </c>
      <c r="S82" s="102">
        <f>43398-5831</f>
        <v>37567</v>
      </c>
      <c r="T82" s="652">
        <v>88692</v>
      </c>
      <c r="U82" s="651">
        <f>5831+65898</f>
        <v>71729</v>
      </c>
      <c r="V82" s="102">
        <f>43398-5831</f>
        <v>37567</v>
      </c>
      <c r="W82" s="652">
        <v>88692</v>
      </c>
    </row>
    <row r="83" spans="1:23" x14ac:dyDescent="0.2">
      <c r="A83" s="104" t="s">
        <v>8</v>
      </c>
      <c r="B83" s="102">
        <v>579</v>
      </c>
      <c r="C83" s="102">
        <v>37373</v>
      </c>
      <c r="D83" s="102">
        <v>37952</v>
      </c>
      <c r="E83" s="102">
        <v>1022</v>
      </c>
      <c r="F83" s="102">
        <v>35548</v>
      </c>
      <c r="G83" s="102">
        <v>36570</v>
      </c>
      <c r="H83" s="102">
        <v>153</v>
      </c>
      <c r="I83" s="102">
        <v>35548</v>
      </c>
      <c r="J83" s="102">
        <v>33572</v>
      </c>
      <c r="N83" s="650" t="s">
        <v>8</v>
      </c>
      <c r="O83" s="651">
        <v>53525</v>
      </c>
      <c r="P83" s="102">
        <f t="shared" si="26"/>
        <v>50438</v>
      </c>
      <c r="Q83" s="652">
        <f>97773+6190</f>
        <v>103963</v>
      </c>
      <c r="R83" s="651">
        <v>60332</v>
      </c>
      <c r="S83" s="102">
        <v>62097</v>
      </c>
      <c r="T83" s="652">
        <v>119329</v>
      </c>
      <c r="U83" s="651">
        <v>60332</v>
      </c>
      <c r="V83" s="102">
        <v>62097</v>
      </c>
      <c r="W83" s="652">
        <v>119329</v>
      </c>
    </row>
    <row r="84" spans="1:23" x14ac:dyDescent="0.2">
      <c r="A84" s="104" t="s">
        <v>9</v>
      </c>
      <c r="B84" s="102">
        <v>578</v>
      </c>
      <c r="C84" s="102">
        <v>37373</v>
      </c>
      <c r="D84" s="102">
        <v>37951</v>
      </c>
      <c r="E84" s="102">
        <v>764</v>
      </c>
      <c r="F84" s="102">
        <v>36773</v>
      </c>
      <c r="G84" s="102">
        <v>37537</v>
      </c>
      <c r="H84" s="102">
        <v>351</v>
      </c>
      <c r="I84" s="102">
        <v>31773</v>
      </c>
      <c r="J84" s="102">
        <v>34517</v>
      </c>
      <c r="N84" s="650" t="s">
        <v>9</v>
      </c>
      <c r="O84" s="651">
        <v>53525</v>
      </c>
      <c r="P84" s="102">
        <f t="shared" si="26"/>
        <v>38005</v>
      </c>
      <c r="Q84" s="652">
        <v>91530</v>
      </c>
      <c r="R84" s="651">
        <v>53890</v>
      </c>
      <c r="S84" s="102">
        <v>27676</v>
      </c>
      <c r="T84" s="652">
        <v>88258</v>
      </c>
      <c r="U84" s="651">
        <v>53890</v>
      </c>
      <c r="V84" s="102">
        <v>27676</v>
      </c>
      <c r="W84" s="652">
        <v>88258</v>
      </c>
    </row>
    <row r="85" spans="1:23" x14ac:dyDescent="0.2">
      <c r="A85" s="104" t="s">
        <v>10</v>
      </c>
      <c r="B85" s="102">
        <v>578</v>
      </c>
      <c r="C85" s="102">
        <v>37373</v>
      </c>
      <c r="D85" s="102">
        <v>37951</v>
      </c>
      <c r="E85" s="102">
        <v>327</v>
      </c>
      <c r="F85" s="102">
        <v>34159</v>
      </c>
      <c r="G85" s="102">
        <v>34486</v>
      </c>
      <c r="H85" s="102">
        <v>7442</v>
      </c>
      <c r="I85" s="102">
        <v>25159</v>
      </c>
      <c r="J85" s="102">
        <v>32387</v>
      </c>
      <c r="N85" s="650" t="s">
        <v>10</v>
      </c>
      <c r="O85" s="651">
        <v>53525</v>
      </c>
      <c r="P85" s="102">
        <f t="shared" si="26"/>
        <v>34005</v>
      </c>
      <c r="Q85" s="652">
        <v>87530</v>
      </c>
      <c r="R85" s="651">
        <v>43929</v>
      </c>
      <c r="S85" s="102">
        <v>34575</v>
      </c>
      <c r="T85" s="652">
        <v>80360</v>
      </c>
      <c r="U85" s="651">
        <v>43929</v>
      </c>
      <c r="V85" s="102">
        <v>34575</v>
      </c>
      <c r="W85" s="652">
        <v>80360</v>
      </c>
    </row>
    <row r="86" spans="1:23" x14ac:dyDescent="0.2">
      <c r="A86" s="104" t="s">
        <v>11</v>
      </c>
      <c r="B86" s="102">
        <v>579</v>
      </c>
      <c r="C86" s="102">
        <v>37372</v>
      </c>
      <c r="D86" s="102">
        <v>37951</v>
      </c>
      <c r="E86" s="102">
        <v>953</v>
      </c>
      <c r="F86" s="102">
        <v>41294</v>
      </c>
      <c r="G86" s="102">
        <v>42247</v>
      </c>
      <c r="H86" s="102">
        <v>236</v>
      </c>
      <c r="I86" s="102">
        <v>36294</v>
      </c>
      <c r="J86" s="102">
        <v>39487</v>
      </c>
      <c r="N86" s="650" t="s">
        <v>11</v>
      </c>
      <c r="O86" s="651">
        <v>49800</v>
      </c>
      <c r="P86" s="102">
        <f t="shared" si="26"/>
        <v>37730</v>
      </c>
      <c r="Q86" s="652">
        <v>87530</v>
      </c>
      <c r="R86" s="651">
        <v>40227</v>
      </c>
      <c r="S86" s="102">
        <v>43100</v>
      </c>
      <c r="T86" s="652">
        <v>95497</v>
      </c>
      <c r="U86" s="651">
        <v>40227</v>
      </c>
      <c r="V86" s="102">
        <v>43100</v>
      </c>
      <c r="W86" s="652">
        <v>95497</v>
      </c>
    </row>
    <row r="87" spans="1:23" x14ac:dyDescent="0.2">
      <c r="A87" s="104" t="s">
        <v>12</v>
      </c>
      <c r="B87" s="102">
        <v>579</v>
      </c>
      <c r="C87" s="102">
        <v>37372</v>
      </c>
      <c r="D87" s="102">
        <v>37951</v>
      </c>
      <c r="E87" s="102">
        <v>3217</v>
      </c>
      <c r="F87" s="102">
        <v>31195</v>
      </c>
      <c r="G87" s="102">
        <v>34412</v>
      </c>
      <c r="H87" s="102">
        <v>459</v>
      </c>
      <c r="I87" s="102">
        <v>31195</v>
      </c>
      <c r="J87" s="102">
        <v>33117</v>
      </c>
      <c r="N87" s="650" t="s">
        <v>12</v>
      </c>
      <c r="O87" s="651">
        <v>49800</v>
      </c>
      <c r="P87" s="102">
        <f t="shared" si="26"/>
        <v>37730</v>
      </c>
      <c r="Q87" s="652">
        <v>87530</v>
      </c>
      <c r="R87" s="651">
        <v>35191</v>
      </c>
      <c r="S87" s="102">
        <v>44043</v>
      </c>
      <c r="T87" s="652">
        <v>68667</v>
      </c>
      <c r="U87" s="651">
        <v>35191</v>
      </c>
      <c r="V87" s="102">
        <v>44043</v>
      </c>
      <c r="W87" s="652">
        <v>68667</v>
      </c>
    </row>
    <row r="88" spans="1:23" x14ac:dyDescent="0.2">
      <c r="A88" s="104" t="s">
        <v>13</v>
      </c>
      <c r="B88" s="102">
        <v>579</v>
      </c>
      <c r="C88" s="102">
        <v>37372</v>
      </c>
      <c r="D88" s="102">
        <v>37951</v>
      </c>
      <c r="E88" s="102">
        <v>2744</v>
      </c>
      <c r="F88" s="102">
        <v>40287</v>
      </c>
      <c r="G88" s="102">
        <v>43031</v>
      </c>
      <c r="H88" s="102">
        <v>359</v>
      </c>
      <c r="I88" s="102">
        <v>40287</v>
      </c>
      <c r="J88" s="102">
        <v>29810</v>
      </c>
      <c r="N88" s="650" t="s">
        <v>13</v>
      </c>
      <c r="O88" s="651">
        <v>49800</v>
      </c>
      <c r="P88" s="102">
        <f t="shared" si="26"/>
        <v>37730</v>
      </c>
      <c r="Q88" s="652">
        <v>87530</v>
      </c>
      <c r="R88" s="651">
        <v>41679</v>
      </c>
      <c r="S88" s="102">
        <v>50829</v>
      </c>
      <c r="T88" s="652">
        <v>85354</v>
      </c>
      <c r="U88" s="651">
        <v>41679</v>
      </c>
      <c r="V88" s="102">
        <v>50829</v>
      </c>
      <c r="W88" s="652">
        <v>85354</v>
      </c>
    </row>
    <row r="89" spans="1:23" x14ac:dyDescent="0.2">
      <c r="A89" s="104" t="s">
        <v>14</v>
      </c>
      <c r="B89" s="102">
        <v>579</v>
      </c>
      <c r="C89" s="102">
        <v>37372</v>
      </c>
      <c r="D89" s="102">
        <v>37951</v>
      </c>
      <c r="E89" s="102">
        <v>466</v>
      </c>
      <c r="F89" s="102">
        <v>60019</v>
      </c>
      <c r="G89" s="102">
        <v>60485</v>
      </c>
      <c r="H89" s="102">
        <v>25</v>
      </c>
      <c r="I89" s="102">
        <v>48019</v>
      </c>
      <c r="J89" s="102">
        <v>57207</v>
      </c>
      <c r="N89" s="650" t="s">
        <v>14</v>
      </c>
      <c r="O89" s="651">
        <v>49800</v>
      </c>
      <c r="P89" s="102">
        <f t="shared" si="26"/>
        <v>37730</v>
      </c>
      <c r="Q89" s="652">
        <v>87530</v>
      </c>
      <c r="R89" s="651">
        <v>40854</v>
      </c>
      <c r="S89" s="102">
        <v>53556</v>
      </c>
      <c r="T89" s="652">
        <v>102547</v>
      </c>
      <c r="U89" s="651">
        <v>40854</v>
      </c>
      <c r="V89" s="102">
        <v>53556</v>
      </c>
      <c r="W89" s="652">
        <v>102547</v>
      </c>
    </row>
    <row r="90" spans="1:23" x14ac:dyDescent="0.2">
      <c r="A90" s="104" t="s">
        <v>15</v>
      </c>
      <c r="B90" s="102">
        <v>579</v>
      </c>
      <c r="C90" s="102">
        <v>37372</v>
      </c>
      <c r="D90" s="102">
        <v>37951</v>
      </c>
      <c r="E90" s="102">
        <v>284</v>
      </c>
      <c r="F90" s="102">
        <v>36619</v>
      </c>
      <c r="G90" s="102">
        <v>36903</v>
      </c>
      <c r="H90" s="102">
        <v>122</v>
      </c>
      <c r="I90" s="102">
        <v>33619</v>
      </c>
      <c r="J90" s="102">
        <v>35661</v>
      </c>
      <c r="N90" s="650" t="s">
        <v>15</v>
      </c>
      <c r="O90" s="651">
        <v>49800</v>
      </c>
      <c r="P90" s="102">
        <f t="shared" si="26"/>
        <v>37730</v>
      </c>
      <c r="Q90" s="652">
        <v>87530</v>
      </c>
      <c r="R90" s="651">
        <v>30401</v>
      </c>
      <c r="S90" s="102">
        <v>53834</v>
      </c>
      <c r="T90" s="652">
        <v>87981</v>
      </c>
      <c r="U90" s="651">
        <v>30401</v>
      </c>
      <c r="V90" s="102">
        <v>53834</v>
      </c>
      <c r="W90" s="652">
        <v>87981</v>
      </c>
    </row>
    <row r="91" spans="1:23" ht="13.5" thickBot="1" x14ac:dyDescent="0.25">
      <c r="A91" s="104" t="s">
        <v>16</v>
      </c>
      <c r="B91" s="102">
        <v>579</v>
      </c>
      <c r="C91" s="102">
        <v>37372</v>
      </c>
      <c r="D91" s="102">
        <v>37951</v>
      </c>
      <c r="E91" s="102">
        <v>2502</v>
      </c>
      <c r="F91" s="102">
        <v>32419</v>
      </c>
      <c r="G91" s="102">
        <v>34921</v>
      </c>
      <c r="H91" s="102">
        <v>261</v>
      </c>
      <c r="I91" s="102">
        <v>70420</v>
      </c>
      <c r="J91" s="102">
        <v>67738</v>
      </c>
      <c r="N91" s="653" t="s">
        <v>16</v>
      </c>
      <c r="O91" s="654">
        <v>49894</v>
      </c>
      <c r="P91" s="655">
        <f t="shared" si="26"/>
        <v>37636</v>
      </c>
      <c r="Q91" s="656">
        <v>87530</v>
      </c>
      <c r="R91" s="654">
        <f>94236-1149+9365</f>
        <v>102452</v>
      </c>
      <c r="S91" s="655">
        <v>86695</v>
      </c>
      <c r="T91" s="656">
        <f>8176+171016+9365</f>
        <v>188557</v>
      </c>
      <c r="U91" s="654">
        <f>-3+94236</f>
        <v>94233</v>
      </c>
      <c r="V91" s="655">
        <v>86695</v>
      </c>
      <c r="W91" s="656">
        <f>1052+171016</f>
        <v>172068</v>
      </c>
    </row>
    <row r="92" spans="1:23" ht="13.5" thickBot="1" x14ac:dyDescent="0.25">
      <c r="A92" s="634" t="s">
        <v>17</v>
      </c>
      <c r="B92" s="113">
        <f>SUM(B80:B91)</f>
        <v>6946</v>
      </c>
      <c r="C92" s="113">
        <f t="shared" ref="C92:D92" si="27">SUM(C80:C91)</f>
        <v>449284</v>
      </c>
      <c r="D92" s="113">
        <f t="shared" si="27"/>
        <v>456230</v>
      </c>
      <c r="E92" s="113">
        <f>SUM(E80:E91)</f>
        <v>14254</v>
      </c>
      <c r="F92" s="113">
        <f t="shared" ref="F92:G92" si="28">SUM(F80:F91)</f>
        <v>459513</v>
      </c>
      <c r="G92" s="113">
        <f t="shared" si="28"/>
        <v>473767</v>
      </c>
      <c r="H92" s="113">
        <f>SUM(H80:H91)</f>
        <v>9817</v>
      </c>
      <c r="I92" s="113">
        <f t="shared" ref="I92:J92" si="29">SUM(I80:I91)</f>
        <v>459513</v>
      </c>
      <c r="J92" s="113">
        <f t="shared" si="29"/>
        <v>468906</v>
      </c>
      <c r="N92" s="657" t="s">
        <v>17</v>
      </c>
      <c r="O92" s="658">
        <f t="shared" ref="O92:W92" si="30">SUM(O80:O91)</f>
        <v>622150</v>
      </c>
      <c r="P92" s="659">
        <f t="shared" si="30"/>
        <v>488143</v>
      </c>
      <c r="Q92" s="660">
        <f t="shared" si="30"/>
        <v>1110293</v>
      </c>
      <c r="R92" s="658">
        <f t="shared" si="30"/>
        <v>604071</v>
      </c>
      <c r="S92" s="659">
        <f t="shared" si="30"/>
        <v>549954</v>
      </c>
      <c r="T92" s="660">
        <f t="shared" si="30"/>
        <v>1154025</v>
      </c>
      <c r="U92" s="658">
        <f t="shared" si="30"/>
        <v>595852</v>
      </c>
      <c r="V92" s="659">
        <f t="shared" si="30"/>
        <v>549954</v>
      </c>
      <c r="W92" s="660">
        <f t="shared" si="30"/>
        <v>1137536</v>
      </c>
    </row>
    <row r="93" spans="1:23" x14ac:dyDescent="0.2">
      <c r="A93" s="630"/>
      <c r="B93" s="630"/>
      <c r="C93" s="630"/>
      <c r="D93" s="630"/>
      <c r="E93" s="630"/>
      <c r="F93" s="628"/>
      <c r="G93" s="630"/>
      <c r="H93" s="630"/>
      <c r="N93" s="641"/>
      <c r="O93" s="641"/>
      <c r="P93" s="641"/>
      <c r="Q93" s="641"/>
      <c r="R93" s="641"/>
      <c r="S93" s="641"/>
      <c r="T93" s="641"/>
      <c r="U93" s="641"/>
      <c r="V93" s="641"/>
      <c r="W93" s="641"/>
    </row>
    <row r="94" spans="1:23" ht="13.5" thickBot="1" x14ac:dyDescent="0.25">
      <c r="N94" s="641"/>
      <c r="O94" s="641"/>
      <c r="P94" s="641"/>
      <c r="Q94" s="641"/>
      <c r="R94" s="641"/>
      <c r="S94" s="641"/>
      <c r="T94" s="641"/>
      <c r="U94" s="641"/>
      <c r="V94" s="641"/>
      <c r="W94" s="641"/>
    </row>
    <row r="95" spans="1:23" x14ac:dyDescent="0.2">
      <c r="A95" s="938" t="s">
        <v>2</v>
      </c>
      <c r="B95" s="932" t="s">
        <v>453</v>
      </c>
      <c r="C95" s="933"/>
      <c r="D95" s="934"/>
      <c r="E95" s="932" t="s">
        <v>453</v>
      </c>
      <c r="F95" s="933"/>
      <c r="G95" s="934"/>
      <c r="H95" s="932" t="s">
        <v>453</v>
      </c>
      <c r="I95" s="933"/>
      <c r="J95" s="934"/>
      <c r="N95" s="938" t="s">
        <v>2</v>
      </c>
      <c r="O95" s="932" t="s">
        <v>454</v>
      </c>
      <c r="P95" s="933"/>
      <c r="Q95" s="934"/>
      <c r="R95" s="932" t="s">
        <v>454</v>
      </c>
      <c r="S95" s="933"/>
      <c r="T95" s="934"/>
      <c r="U95" s="932" t="s">
        <v>454</v>
      </c>
      <c r="V95" s="933"/>
      <c r="W95" s="934"/>
    </row>
    <row r="96" spans="1:23" x14ac:dyDescent="0.2">
      <c r="A96" s="939"/>
      <c r="B96" s="935" t="s">
        <v>562</v>
      </c>
      <c r="C96" s="936"/>
      <c r="D96" s="937"/>
      <c r="E96" s="935" t="s">
        <v>1309</v>
      </c>
      <c r="F96" s="936"/>
      <c r="G96" s="937"/>
      <c r="H96" s="935" t="s">
        <v>1312</v>
      </c>
      <c r="I96" s="936"/>
      <c r="J96" s="937"/>
      <c r="N96" s="939"/>
      <c r="O96" s="935" t="s">
        <v>562</v>
      </c>
      <c r="P96" s="936"/>
      <c r="Q96" s="937"/>
      <c r="R96" s="935" t="s">
        <v>1309</v>
      </c>
      <c r="S96" s="936"/>
      <c r="T96" s="937"/>
      <c r="U96" s="935" t="s">
        <v>1312</v>
      </c>
      <c r="V96" s="936"/>
      <c r="W96" s="937"/>
    </row>
    <row r="97" spans="1:23" x14ac:dyDescent="0.2">
      <c r="A97" s="939"/>
      <c r="B97" s="924" t="s">
        <v>3</v>
      </c>
      <c r="C97" s="925"/>
      <c r="D97" s="926" t="s">
        <v>4</v>
      </c>
      <c r="E97" s="924" t="s">
        <v>3</v>
      </c>
      <c r="F97" s="925"/>
      <c r="G97" s="926" t="s">
        <v>4</v>
      </c>
      <c r="H97" s="924" t="s">
        <v>3</v>
      </c>
      <c r="I97" s="925"/>
      <c r="J97" s="926" t="s">
        <v>4</v>
      </c>
      <c r="N97" s="939"/>
      <c r="O97" s="924" t="s">
        <v>3</v>
      </c>
      <c r="P97" s="925"/>
      <c r="Q97" s="926" t="s">
        <v>4</v>
      </c>
      <c r="R97" s="924" t="s">
        <v>3</v>
      </c>
      <c r="S97" s="925"/>
      <c r="T97" s="926" t="s">
        <v>4</v>
      </c>
      <c r="U97" s="924" t="s">
        <v>3</v>
      </c>
      <c r="V97" s="925"/>
      <c r="W97" s="926" t="s">
        <v>4</v>
      </c>
    </row>
    <row r="98" spans="1:23" s="661" customFormat="1" ht="34.5" thickBot="1" x14ac:dyDescent="0.25">
      <c r="A98" s="940"/>
      <c r="B98" s="645" t="s">
        <v>390</v>
      </c>
      <c r="C98" s="289" t="s">
        <v>391</v>
      </c>
      <c r="D98" s="927"/>
      <c r="E98" s="645" t="s">
        <v>390</v>
      </c>
      <c r="F98" s="289" t="s">
        <v>391</v>
      </c>
      <c r="G98" s="927"/>
      <c r="H98" s="645" t="s">
        <v>390</v>
      </c>
      <c r="I98" s="289" t="s">
        <v>391</v>
      </c>
      <c r="J98" s="927"/>
      <c r="N98" s="940"/>
      <c r="O98" s="645" t="s">
        <v>390</v>
      </c>
      <c r="P98" s="289" t="s">
        <v>391</v>
      </c>
      <c r="Q98" s="927"/>
      <c r="R98" s="645" t="s">
        <v>390</v>
      </c>
      <c r="S98" s="289" t="s">
        <v>391</v>
      </c>
      <c r="T98" s="927"/>
      <c r="U98" s="645" t="s">
        <v>390</v>
      </c>
      <c r="V98" s="289" t="s">
        <v>391</v>
      </c>
      <c r="W98" s="927"/>
    </row>
    <row r="99" spans="1:23" x14ac:dyDescent="0.2">
      <c r="A99" s="646" t="s">
        <v>5</v>
      </c>
      <c r="B99" s="647">
        <f>9868+3293</f>
        <v>13161</v>
      </c>
      <c r="C99" s="648">
        <f>+D99-B99</f>
        <v>46440</v>
      </c>
      <c r="D99" s="649">
        <v>59601</v>
      </c>
      <c r="E99" s="647">
        <v>6280</v>
      </c>
      <c r="F99" s="648">
        <v>19004</v>
      </c>
      <c r="G99" s="649">
        <v>50596</v>
      </c>
      <c r="H99" s="647">
        <v>6280</v>
      </c>
      <c r="I99" s="648">
        <v>19004</v>
      </c>
      <c r="J99" s="649">
        <v>50596</v>
      </c>
      <c r="N99" s="646" t="s">
        <v>5</v>
      </c>
      <c r="O99" s="647">
        <f>2695+1961</f>
        <v>4656</v>
      </c>
      <c r="P99" s="648">
        <f>+Q99-O99</f>
        <v>5949</v>
      </c>
      <c r="Q99" s="649">
        <v>10605</v>
      </c>
      <c r="R99" s="647">
        <v>1665</v>
      </c>
      <c r="S99" s="648"/>
      <c r="T99" s="649">
        <v>2913</v>
      </c>
      <c r="U99" s="647">
        <v>1665</v>
      </c>
      <c r="V99" s="648"/>
      <c r="W99" s="649">
        <v>2913</v>
      </c>
    </row>
    <row r="100" spans="1:23" x14ac:dyDescent="0.2">
      <c r="A100" s="650" t="s">
        <v>6</v>
      </c>
      <c r="B100" s="651">
        <v>9875</v>
      </c>
      <c r="C100" s="102">
        <f t="shared" ref="C100:C110" si="31">+D100-B100</f>
        <v>43366</v>
      </c>
      <c r="D100" s="652">
        <v>53241</v>
      </c>
      <c r="E100" s="651">
        <v>6214</v>
      </c>
      <c r="F100" s="102">
        <v>45676</v>
      </c>
      <c r="G100" s="652">
        <v>52735</v>
      </c>
      <c r="H100" s="651">
        <v>6214</v>
      </c>
      <c r="I100" s="102">
        <v>45676</v>
      </c>
      <c r="J100" s="652">
        <v>52735</v>
      </c>
      <c r="N100" s="650" t="s">
        <v>6</v>
      </c>
      <c r="O100" s="651">
        <v>2695</v>
      </c>
      <c r="P100" s="102">
        <f t="shared" ref="P100:P110" si="32">+Q100-O100</f>
        <v>8413</v>
      </c>
      <c r="Q100" s="652">
        <v>11108</v>
      </c>
      <c r="R100" s="651">
        <v>2055</v>
      </c>
      <c r="S100" s="102">
        <v>7507</v>
      </c>
      <c r="T100" s="652">
        <v>8951</v>
      </c>
      <c r="U100" s="651">
        <v>2055</v>
      </c>
      <c r="V100" s="102">
        <v>7507</v>
      </c>
      <c r="W100" s="652">
        <v>8951</v>
      </c>
    </row>
    <row r="101" spans="1:23" x14ac:dyDescent="0.2">
      <c r="A101" s="650" t="s">
        <v>7</v>
      </c>
      <c r="B101" s="651">
        <v>9869</v>
      </c>
      <c r="C101" s="102">
        <f t="shared" si="31"/>
        <v>43779</v>
      </c>
      <c r="D101" s="652">
        <v>53648</v>
      </c>
      <c r="E101" s="651">
        <f>3293+8937</f>
        <v>12230</v>
      </c>
      <c r="F101" s="102">
        <f>57530-3293</f>
        <v>54237</v>
      </c>
      <c r="G101" s="652">
        <v>60860</v>
      </c>
      <c r="H101" s="651">
        <f>3293+8937</f>
        <v>12230</v>
      </c>
      <c r="I101" s="102">
        <f>57530-3293</f>
        <v>54237</v>
      </c>
      <c r="J101" s="652">
        <v>60860</v>
      </c>
      <c r="N101" s="650" t="s">
        <v>7</v>
      </c>
      <c r="O101" s="651">
        <v>2695</v>
      </c>
      <c r="P101" s="102">
        <f t="shared" si="32"/>
        <v>7910</v>
      </c>
      <c r="Q101" s="652">
        <v>10605</v>
      </c>
      <c r="R101" s="651">
        <f>3138+1961</f>
        <v>5099</v>
      </c>
      <c r="S101" s="102">
        <f>8893-1961</f>
        <v>6932</v>
      </c>
      <c r="T101" s="652">
        <v>11031</v>
      </c>
      <c r="U101" s="651">
        <f>3138+1961</f>
        <v>5099</v>
      </c>
      <c r="V101" s="102">
        <f>8893-1961</f>
        <v>6932</v>
      </c>
      <c r="W101" s="652">
        <v>11031</v>
      </c>
    </row>
    <row r="102" spans="1:23" x14ac:dyDescent="0.2">
      <c r="A102" s="650" t="s">
        <v>8</v>
      </c>
      <c r="B102" s="651">
        <v>9868</v>
      </c>
      <c r="C102" s="102">
        <f t="shared" si="31"/>
        <v>43623</v>
      </c>
      <c r="D102" s="652">
        <v>53491</v>
      </c>
      <c r="E102" s="651">
        <v>5878</v>
      </c>
      <c r="F102" s="102">
        <v>43263</v>
      </c>
      <c r="G102" s="652">
        <v>52121</v>
      </c>
      <c r="H102" s="651">
        <v>5878</v>
      </c>
      <c r="I102" s="102">
        <v>43263</v>
      </c>
      <c r="J102" s="652">
        <v>52121</v>
      </c>
      <c r="N102" s="650" t="s">
        <v>8</v>
      </c>
      <c r="O102" s="651">
        <v>2695</v>
      </c>
      <c r="P102" s="102">
        <f t="shared" si="32"/>
        <v>7910</v>
      </c>
      <c r="Q102" s="652">
        <v>10605</v>
      </c>
      <c r="R102" s="651">
        <v>2373</v>
      </c>
      <c r="S102" s="102">
        <v>9212</v>
      </c>
      <c r="T102" s="652">
        <v>10244</v>
      </c>
      <c r="U102" s="651">
        <v>2373</v>
      </c>
      <c r="V102" s="102">
        <v>9212</v>
      </c>
      <c r="W102" s="652">
        <v>10244</v>
      </c>
    </row>
    <row r="103" spans="1:23" x14ac:dyDescent="0.2">
      <c r="A103" s="650" t="s">
        <v>9</v>
      </c>
      <c r="B103" s="651">
        <v>9868</v>
      </c>
      <c r="C103" s="102">
        <f t="shared" si="31"/>
        <v>43623</v>
      </c>
      <c r="D103" s="652">
        <v>53491</v>
      </c>
      <c r="E103" s="651">
        <v>4919</v>
      </c>
      <c r="F103" s="102">
        <v>46613</v>
      </c>
      <c r="G103" s="652">
        <v>55185</v>
      </c>
      <c r="H103" s="651">
        <v>4919</v>
      </c>
      <c r="I103" s="102">
        <v>46613</v>
      </c>
      <c r="J103" s="652">
        <v>55185</v>
      </c>
      <c r="N103" s="650" t="s">
        <v>9</v>
      </c>
      <c r="O103" s="651">
        <v>2695</v>
      </c>
      <c r="P103" s="102">
        <f t="shared" si="32"/>
        <v>7910</v>
      </c>
      <c r="Q103" s="652">
        <v>10605</v>
      </c>
      <c r="R103" s="651">
        <v>2731</v>
      </c>
      <c r="S103" s="102">
        <v>7511</v>
      </c>
      <c r="T103" s="652">
        <v>9522</v>
      </c>
      <c r="U103" s="651">
        <v>2731</v>
      </c>
      <c r="V103" s="102">
        <v>7511</v>
      </c>
      <c r="W103" s="652">
        <v>9522</v>
      </c>
    </row>
    <row r="104" spans="1:23" x14ac:dyDescent="0.2">
      <c r="A104" s="650" t="s">
        <v>10</v>
      </c>
      <c r="B104" s="651">
        <v>9867</v>
      </c>
      <c r="C104" s="102">
        <f t="shared" si="31"/>
        <v>43374</v>
      </c>
      <c r="D104" s="652">
        <v>53241</v>
      </c>
      <c r="E104" s="651">
        <v>4721</v>
      </c>
      <c r="F104" s="102">
        <v>48161</v>
      </c>
      <c r="G104" s="652">
        <v>54061</v>
      </c>
      <c r="H104" s="651">
        <v>4721</v>
      </c>
      <c r="I104" s="102">
        <v>48161</v>
      </c>
      <c r="J104" s="652">
        <v>54061</v>
      </c>
      <c r="N104" s="650" t="s">
        <v>10</v>
      </c>
      <c r="O104" s="651">
        <v>2695</v>
      </c>
      <c r="P104" s="102">
        <f t="shared" si="32"/>
        <v>7910</v>
      </c>
      <c r="Q104" s="652">
        <v>10605</v>
      </c>
      <c r="R104" s="651">
        <v>1368</v>
      </c>
      <c r="S104" s="102">
        <v>6546</v>
      </c>
      <c r="T104" s="652">
        <v>11578</v>
      </c>
      <c r="U104" s="651">
        <v>1368</v>
      </c>
      <c r="V104" s="102">
        <v>6546</v>
      </c>
      <c r="W104" s="652">
        <v>11578</v>
      </c>
    </row>
    <row r="105" spans="1:23" x14ac:dyDescent="0.2">
      <c r="A105" s="650" t="s">
        <v>11</v>
      </c>
      <c r="B105" s="651">
        <v>0</v>
      </c>
      <c r="C105" s="102">
        <f t="shared" si="31"/>
        <v>56024</v>
      </c>
      <c r="D105" s="652">
        <v>56024</v>
      </c>
      <c r="E105" s="651">
        <v>1234</v>
      </c>
      <c r="F105" s="102">
        <v>48001</v>
      </c>
      <c r="G105" s="652">
        <v>49310</v>
      </c>
      <c r="H105" s="651">
        <v>1234</v>
      </c>
      <c r="I105" s="102">
        <v>48001</v>
      </c>
      <c r="J105" s="652">
        <v>49310</v>
      </c>
      <c r="N105" s="650" t="s">
        <v>11</v>
      </c>
      <c r="O105" s="651">
        <v>2695</v>
      </c>
      <c r="P105" s="102">
        <f t="shared" si="32"/>
        <v>7910</v>
      </c>
      <c r="Q105" s="652">
        <v>10605</v>
      </c>
      <c r="R105" s="651">
        <v>2994</v>
      </c>
      <c r="S105" s="102">
        <v>7575</v>
      </c>
      <c r="T105" s="652">
        <v>9812</v>
      </c>
      <c r="U105" s="651">
        <v>2994</v>
      </c>
      <c r="V105" s="102">
        <v>7575</v>
      </c>
      <c r="W105" s="652">
        <v>9812</v>
      </c>
    </row>
    <row r="106" spans="1:23" x14ac:dyDescent="0.2">
      <c r="A106" s="650" t="s">
        <v>12</v>
      </c>
      <c r="B106" s="651">
        <v>9862</v>
      </c>
      <c r="C106" s="102">
        <f t="shared" si="31"/>
        <v>45814</v>
      </c>
      <c r="D106" s="652">
        <v>55676</v>
      </c>
      <c r="E106" s="651">
        <v>501</v>
      </c>
      <c r="F106" s="102">
        <v>49137</v>
      </c>
      <c r="G106" s="652">
        <v>52260</v>
      </c>
      <c r="H106" s="651">
        <v>501</v>
      </c>
      <c r="I106" s="102">
        <v>49137</v>
      </c>
      <c r="J106" s="652">
        <v>52260</v>
      </c>
      <c r="N106" s="650" t="s">
        <v>12</v>
      </c>
      <c r="O106" s="651"/>
      <c r="P106" s="102">
        <f t="shared" si="32"/>
        <v>10605</v>
      </c>
      <c r="Q106" s="652">
        <v>10605</v>
      </c>
      <c r="R106" s="651">
        <v>275</v>
      </c>
      <c r="S106" s="102">
        <v>6501</v>
      </c>
      <c r="T106" s="652">
        <v>8145</v>
      </c>
      <c r="U106" s="651">
        <v>275</v>
      </c>
      <c r="V106" s="102">
        <v>6501</v>
      </c>
      <c r="W106" s="652">
        <v>8145</v>
      </c>
    </row>
    <row r="107" spans="1:23" x14ac:dyDescent="0.2">
      <c r="A107" s="650" t="s">
        <v>13</v>
      </c>
      <c r="B107" s="651">
        <v>9869</v>
      </c>
      <c r="C107" s="102">
        <f t="shared" si="31"/>
        <v>44718</v>
      </c>
      <c r="D107" s="652">
        <v>54587</v>
      </c>
      <c r="E107" s="651">
        <v>506</v>
      </c>
      <c r="F107" s="102">
        <v>56073</v>
      </c>
      <c r="G107" s="652">
        <v>57600</v>
      </c>
      <c r="H107" s="651">
        <v>506</v>
      </c>
      <c r="I107" s="102">
        <v>56073</v>
      </c>
      <c r="J107" s="652">
        <v>57600</v>
      </c>
      <c r="N107" s="650" t="s">
        <v>13</v>
      </c>
      <c r="O107" s="651">
        <v>2715</v>
      </c>
      <c r="P107" s="102">
        <f t="shared" si="32"/>
        <v>9033</v>
      </c>
      <c r="Q107" s="652">
        <v>11748</v>
      </c>
      <c r="R107" s="651">
        <v>839</v>
      </c>
      <c r="S107" s="102">
        <v>9496</v>
      </c>
      <c r="T107" s="652">
        <v>8725</v>
      </c>
      <c r="U107" s="651">
        <v>839</v>
      </c>
      <c r="V107" s="102">
        <v>9496</v>
      </c>
      <c r="W107" s="652">
        <v>8725</v>
      </c>
    </row>
    <row r="108" spans="1:23" x14ac:dyDescent="0.2">
      <c r="A108" s="650" t="s">
        <v>14</v>
      </c>
      <c r="B108" s="651">
        <v>9869</v>
      </c>
      <c r="C108" s="102">
        <f t="shared" si="31"/>
        <v>45874</v>
      </c>
      <c r="D108" s="652">
        <v>55743</v>
      </c>
      <c r="E108" s="651">
        <v>10909</v>
      </c>
      <c r="F108" s="102">
        <v>50485</v>
      </c>
      <c r="G108" s="652">
        <v>59294</v>
      </c>
      <c r="H108" s="651">
        <v>10909</v>
      </c>
      <c r="I108" s="102">
        <v>50485</v>
      </c>
      <c r="J108" s="652">
        <v>59294</v>
      </c>
      <c r="N108" s="650" t="s">
        <v>14</v>
      </c>
      <c r="O108" s="651">
        <v>2695</v>
      </c>
      <c r="P108" s="102">
        <f t="shared" si="32"/>
        <v>7910</v>
      </c>
      <c r="Q108" s="652">
        <v>10605</v>
      </c>
      <c r="R108" s="651">
        <v>2140</v>
      </c>
      <c r="S108" s="102">
        <v>10062</v>
      </c>
      <c r="T108" s="652">
        <v>13023</v>
      </c>
      <c r="U108" s="651">
        <v>2140</v>
      </c>
      <c r="V108" s="102">
        <v>10062</v>
      </c>
      <c r="W108" s="652">
        <v>13023</v>
      </c>
    </row>
    <row r="109" spans="1:23" x14ac:dyDescent="0.2">
      <c r="A109" s="650" t="s">
        <v>15</v>
      </c>
      <c r="B109" s="651">
        <v>9870</v>
      </c>
      <c r="C109" s="102">
        <f t="shared" si="31"/>
        <v>45359</v>
      </c>
      <c r="D109" s="652">
        <v>55229</v>
      </c>
      <c r="E109" s="651">
        <v>5800</v>
      </c>
      <c r="F109" s="102">
        <v>48343</v>
      </c>
      <c r="G109" s="652">
        <v>56673</v>
      </c>
      <c r="H109" s="651">
        <v>5800</v>
      </c>
      <c r="I109" s="102">
        <v>48343</v>
      </c>
      <c r="J109" s="652">
        <v>56673</v>
      </c>
      <c r="N109" s="650" t="s">
        <v>15</v>
      </c>
      <c r="O109" s="651">
        <v>2695</v>
      </c>
      <c r="P109" s="102">
        <f t="shared" si="32"/>
        <v>7910</v>
      </c>
      <c r="Q109" s="652">
        <v>10605</v>
      </c>
      <c r="R109" s="651">
        <v>1956</v>
      </c>
      <c r="S109" s="102">
        <v>8906</v>
      </c>
      <c r="T109" s="652">
        <v>9546</v>
      </c>
      <c r="U109" s="651">
        <v>1956</v>
      </c>
      <c r="V109" s="102">
        <v>8906</v>
      </c>
      <c r="W109" s="652">
        <v>9546</v>
      </c>
    </row>
    <row r="110" spans="1:23" ht="13.5" thickBot="1" x14ac:dyDescent="0.25">
      <c r="A110" s="653" t="s">
        <v>16</v>
      </c>
      <c r="B110" s="654">
        <v>9870</v>
      </c>
      <c r="C110" s="655">
        <f t="shared" si="31"/>
        <v>44821</v>
      </c>
      <c r="D110" s="656">
        <v>54691</v>
      </c>
      <c r="E110" s="654">
        <f>38228-2+3246</f>
        <v>41472</v>
      </c>
      <c r="F110" s="655">
        <v>62279</v>
      </c>
      <c r="G110" s="656">
        <f>1490+66505+3246</f>
        <v>71241</v>
      </c>
      <c r="H110" s="654">
        <f>1105+38228</f>
        <v>39333</v>
      </c>
      <c r="I110" s="655">
        <v>62279</v>
      </c>
      <c r="J110" s="656">
        <f>2350+66505</f>
        <v>68855</v>
      </c>
      <c r="N110" s="653" t="s">
        <v>16</v>
      </c>
      <c r="O110" s="654">
        <v>2695</v>
      </c>
      <c r="P110" s="655">
        <f t="shared" si="32"/>
        <v>7910</v>
      </c>
      <c r="Q110" s="656">
        <v>10605</v>
      </c>
      <c r="R110" s="654">
        <f>173+6982</f>
        <v>7155</v>
      </c>
      <c r="S110" s="655">
        <f>19076-117</f>
        <v>18959</v>
      </c>
      <c r="T110" s="656">
        <f>1036+25158+173</f>
        <v>26367</v>
      </c>
      <c r="U110" s="654">
        <v>6982</v>
      </c>
      <c r="V110" s="655">
        <f>19076-117</f>
        <v>18959</v>
      </c>
      <c r="W110" s="656">
        <v>25158</v>
      </c>
    </row>
    <row r="111" spans="1:23" ht="13.5" thickBot="1" x14ac:dyDescent="0.25">
      <c r="A111" s="657" t="s">
        <v>17</v>
      </c>
      <c r="B111" s="658">
        <f t="shared" ref="B111:J111" si="33">SUM(B99:B110)</f>
        <v>111848</v>
      </c>
      <c r="C111" s="659">
        <f t="shared" si="33"/>
        <v>546815</v>
      </c>
      <c r="D111" s="660">
        <f t="shared" si="33"/>
        <v>658663</v>
      </c>
      <c r="E111" s="658">
        <f>SUM(E99:E110)</f>
        <v>100664</v>
      </c>
      <c r="F111" s="659">
        <f>SUM(F99:F110)</f>
        <v>571272</v>
      </c>
      <c r="G111" s="660">
        <f>SUM(G99:G110)</f>
        <v>671936</v>
      </c>
      <c r="H111" s="658">
        <f t="shared" si="33"/>
        <v>98525</v>
      </c>
      <c r="I111" s="659">
        <f t="shared" si="33"/>
        <v>571272</v>
      </c>
      <c r="J111" s="660">
        <f t="shared" si="33"/>
        <v>669550</v>
      </c>
      <c r="N111" s="657" t="s">
        <v>17</v>
      </c>
      <c r="O111" s="658">
        <f t="shared" ref="O111:W111" si="34">SUM(O99:O110)</f>
        <v>31626</v>
      </c>
      <c r="P111" s="659">
        <f t="shared" si="34"/>
        <v>97280</v>
      </c>
      <c r="Q111" s="660">
        <f t="shared" si="34"/>
        <v>128906</v>
      </c>
      <c r="R111" s="658">
        <f t="shared" si="34"/>
        <v>30650</v>
      </c>
      <c r="S111" s="659">
        <f t="shared" si="34"/>
        <v>99207</v>
      </c>
      <c r="T111" s="660">
        <f t="shared" si="34"/>
        <v>129857</v>
      </c>
      <c r="U111" s="658">
        <f t="shared" si="34"/>
        <v>30477</v>
      </c>
      <c r="V111" s="659">
        <f t="shared" si="34"/>
        <v>99207</v>
      </c>
      <c r="W111" s="660">
        <f t="shared" si="34"/>
        <v>128648</v>
      </c>
    </row>
    <row r="112" spans="1:23" x14ac:dyDescent="0.2">
      <c r="A112" s="641"/>
      <c r="B112" s="641"/>
      <c r="C112" s="641"/>
      <c r="D112" s="641"/>
      <c r="E112" s="641"/>
      <c r="F112" s="641"/>
      <c r="G112" s="641"/>
      <c r="H112" s="662"/>
      <c r="I112" s="662"/>
      <c r="J112" s="641"/>
      <c r="N112" s="641"/>
      <c r="O112" s="641"/>
      <c r="P112" s="641"/>
      <c r="Q112" s="641"/>
      <c r="R112" s="641"/>
      <c r="S112" s="641"/>
      <c r="T112" s="641"/>
      <c r="U112" s="641"/>
      <c r="V112" s="641"/>
      <c r="W112" s="625"/>
    </row>
    <row r="113" spans="1:23" ht="13.5" thickBot="1" x14ac:dyDescent="0.25">
      <c r="A113" s="641"/>
      <c r="B113" s="641"/>
      <c r="C113" s="641"/>
      <c r="D113" s="641"/>
      <c r="E113" s="641"/>
      <c r="F113" s="641"/>
      <c r="G113" s="641"/>
      <c r="H113" s="641"/>
      <c r="I113" s="641"/>
      <c r="J113" s="642" t="s">
        <v>0</v>
      </c>
      <c r="N113" s="641"/>
      <c r="O113" s="641"/>
      <c r="P113" s="641"/>
      <c r="Q113" s="641"/>
      <c r="R113" s="641"/>
      <c r="S113" s="641"/>
      <c r="T113" s="641"/>
      <c r="U113" s="641"/>
      <c r="V113" s="641"/>
      <c r="W113" s="641"/>
    </row>
    <row r="114" spans="1:23" x14ac:dyDescent="0.2">
      <c r="A114" s="938" t="s">
        <v>2</v>
      </c>
      <c r="B114" s="932" t="s">
        <v>455</v>
      </c>
      <c r="C114" s="933"/>
      <c r="D114" s="934"/>
      <c r="E114" s="932" t="s">
        <v>455</v>
      </c>
      <c r="F114" s="933"/>
      <c r="G114" s="934"/>
      <c r="H114" s="932" t="s">
        <v>455</v>
      </c>
      <c r="I114" s="933"/>
      <c r="J114" s="934"/>
      <c r="N114" s="938" t="s">
        <v>2</v>
      </c>
      <c r="O114" s="932" t="s">
        <v>456</v>
      </c>
      <c r="P114" s="933"/>
      <c r="Q114" s="934"/>
      <c r="R114" s="932" t="s">
        <v>456</v>
      </c>
      <c r="S114" s="933"/>
      <c r="T114" s="934"/>
      <c r="U114" s="932" t="s">
        <v>456</v>
      </c>
      <c r="V114" s="933"/>
      <c r="W114" s="934"/>
    </row>
    <row r="115" spans="1:23" x14ac:dyDescent="0.2">
      <c r="A115" s="939"/>
      <c r="B115" s="935" t="s">
        <v>562</v>
      </c>
      <c r="C115" s="936"/>
      <c r="D115" s="937"/>
      <c r="E115" s="935" t="s">
        <v>1309</v>
      </c>
      <c r="F115" s="936"/>
      <c r="G115" s="937"/>
      <c r="H115" s="935" t="s">
        <v>1312</v>
      </c>
      <c r="I115" s="936"/>
      <c r="J115" s="937"/>
      <c r="N115" s="939"/>
      <c r="O115" s="935" t="s">
        <v>562</v>
      </c>
      <c r="P115" s="936"/>
      <c r="Q115" s="937"/>
      <c r="R115" s="935" t="s">
        <v>1309</v>
      </c>
      <c r="S115" s="936"/>
      <c r="T115" s="937"/>
      <c r="U115" s="935" t="s">
        <v>1312</v>
      </c>
      <c r="V115" s="936"/>
      <c r="W115" s="937"/>
    </row>
    <row r="116" spans="1:23" x14ac:dyDescent="0.2">
      <c r="A116" s="939"/>
      <c r="B116" s="924" t="s">
        <v>3</v>
      </c>
      <c r="C116" s="925"/>
      <c r="D116" s="926" t="s">
        <v>4</v>
      </c>
      <c r="E116" s="924" t="s">
        <v>3</v>
      </c>
      <c r="F116" s="925"/>
      <c r="G116" s="926" t="s">
        <v>4</v>
      </c>
      <c r="H116" s="924" t="s">
        <v>3</v>
      </c>
      <c r="I116" s="925"/>
      <c r="J116" s="926" t="s">
        <v>4</v>
      </c>
      <c r="N116" s="939"/>
      <c r="O116" s="924" t="s">
        <v>3</v>
      </c>
      <c r="P116" s="925"/>
      <c r="Q116" s="926" t="s">
        <v>4</v>
      </c>
      <c r="R116" s="924" t="s">
        <v>3</v>
      </c>
      <c r="S116" s="925"/>
      <c r="T116" s="926" t="s">
        <v>4</v>
      </c>
      <c r="U116" s="924" t="s">
        <v>3</v>
      </c>
      <c r="V116" s="925"/>
      <c r="W116" s="926" t="s">
        <v>4</v>
      </c>
    </row>
    <row r="117" spans="1:23" ht="34.5" thickBot="1" x14ac:dyDescent="0.25">
      <c r="A117" s="940"/>
      <c r="B117" s="645" t="s">
        <v>390</v>
      </c>
      <c r="C117" s="289" t="s">
        <v>391</v>
      </c>
      <c r="D117" s="927"/>
      <c r="E117" s="645" t="s">
        <v>390</v>
      </c>
      <c r="F117" s="289" t="s">
        <v>391</v>
      </c>
      <c r="G117" s="927"/>
      <c r="H117" s="645" t="s">
        <v>390</v>
      </c>
      <c r="I117" s="289" t="s">
        <v>391</v>
      </c>
      <c r="J117" s="927"/>
      <c r="N117" s="940"/>
      <c r="O117" s="645" t="s">
        <v>390</v>
      </c>
      <c r="P117" s="289" t="s">
        <v>391</v>
      </c>
      <c r="Q117" s="927"/>
      <c r="R117" s="645" t="s">
        <v>390</v>
      </c>
      <c r="S117" s="289" t="s">
        <v>391</v>
      </c>
      <c r="T117" s="927"/>
      <c r="U117" s="645" t="s">
        <v>390</v>
      </c>
      <c r="V117" s="289" t="s">
        <v>391</v>
      </c>
      <c r="W117" s="927"/>
    </row>
    <row r="118" spans="1:23" s="661" customFormat="1" x14ac:dyDescent="0.2">
      <c r="A118" s="646" t="s">
        <v>5</v>
      </c>
      <c r="B118" s="647">
        <f>27+245</f>
        <v>272</v>
      </c>
      <c r="C118" s="648">
        <f>+D118-B118</f>
        <v>1028</v>
      </c>
      <c r="D118" s="649">
        <v>1300</v>
      </c>
      <c r="E118" s="647"/>
      <c r="F118" s="648"/>
      <c r="G118" s="649">
        <v>229</v>
      </c>
      <c r="H118" s="647"/>
      <c r="I118" s="648"/>
      <c r="J118" s="649">
        <v>229</v>
      </c>
      <c r="N118" s="646" t="s">
        <v>5</v>
      </c>
      <c r="O118" s="647">
        <f>2928+1947</f>
        <v>4875</v>
      </c>
      <c r="P118" s="648">
        <f>+Q118-O118</f>
        <v>6357</v>
      </c>
      <c r="Q118" s="649">
        <v>11232</v>
      </c>
      <c r="R118" s="647">
        <v>1939</v>
      </c>
      <c r="S118" s="648">
        <v>4153</v>
      </c>
      <c r="T118" s="649">
        <v>6989</v>
      </c>
      <c r="U118" s="647">
        <v>1939</v>
      </c>
      <c r="V118" s="648">
        <v>4153</v>
      </c>
      <c r="W118" s="649">
        <v>6989</v>
      </c>
    </row>
    <row r="119" spans="1:23" x14ac:dyDescent="0.2">
      <c r="A119" s="650" t="s">
        <v>6</v>
      </c>
      <c r="B119" s="651">
        <v>68</v>
      </c>
      <c r="C119" s="102">
        <f t="shared" ref="C119:C129" si="35">+D119-B119</f>
        <v>1242</v>
      </c>
      <c r="D119" s="652">
        <v>1310</v>
      </c>
      <c r="E119" s="651">
        <f>243+27</f>
        <v>270</v>
      </c>
      <c r="F119" s="102">
        <f>1745-247</f>
        <v>1498</v>
      </c>
      <c r="G119" s="652">
        <v>1143</v>
      </c>
      <c r="H119" s="651">
        <f>243+27</f>
        <v>270</v>
      </c>
      <c r="I119" s="102">
        <f>1745-247</f>
        <v>1498</v>
      </c>
      <c r="J119" s="652">
        <v>1143</v>
      </c>
      <c r="N119" s="650" t="s">
        <v>6</v>
      </c>
      <c r="O119" s="651">
        <v>2899</v>
      </c>
      <c r="P119" s="102">
        <f t="shared" ref="P119:P129" si="36">+Q119-O119</f>
        <v>7948</v>
      </c>
      <c r="Q119" s="652">
        <v>10847</v>
      </c>
      <c r="R119" s="651">
        <v>2042</v>
      </c>
      <c r="S119" s="102">
        <v>7037</v>
      </c>
      <c r="T119" s="652">
        <v>9059</v>
      </c>
      <c r="U119" s="651">
        <v>2042</v>
      </c>
      <c r="V119" s="102">
        <v>7037</v>
      </c>
      <c r="W119" s="652">
        <v>9059</v>
      </c>
    </row>
    <row r="120" spans="1:23" x14ac:dyDescent="0.2">
      <c r="A120" s="650" t="s">
        <v>7</v>
      </c>
      <c r="B120" s="651">
        <v>85</v>
      </c>
      <c r="C120" s="102">
        <f t="shared" si="35"/>
        <v>1215</v>
      </c>
      <c r="D120" s="652">
        <v>1300</v>
      </c>
      <c r="E120" s="651">
        <v>139</v>
      </c>
      <c r="F120" s="102">
        <v>1383</v>
      </c>
      <c r="G120" s="652">
        <v>1323</v>
      </c>
      <c r="H120" s="651">
        <v>139</v>
      </c>
      <c r="I120" s="102">
        <v>1383</v>
      </c>
      <c r="J120" s="652">
        <v>1323</v>
      </c>
      <c r="N120" s="650" t="s">
        <v>7</v>
      </c>
      <c r="O120" s="651">
        <v>2811</v>
      </c>
      <c r="P120" s="102">
        <f t="shared" si="36"/>
        <v>7938</v>
      </c>
      <c r="Q120" s="652">
        <v>10749</v>
      </c>
      <c r="R120" s="651">
        <f>1974+3169</f>
        <v>5143</v>
      </c>
      <c r="S120" s="102">
        <f>-1974+10031</f>
        <v>8057</v>
      </c>
      <c r="T120" s="652">
        <v>11145</v>
      </c>
      <c r="U120" s="651">
        <f>1974+3169</f>
        <v>5143</v>
      </c>
      <c r="V120" s="102">
        <f>-1974+10031</f>
        <v>8057</v>
      </c>
      <c r="W120" s="652">
        <v>11145</v>
      </c>
    </row>
    <row r="121" spans="1:23" x14ac:dyDescent="0.2">
      <c r="A121" s="650" t="s">
        <v>8</v>
      </c>
      <c r="B121" s="651">
        <v>90</v>
      </c>
      <c r="C121" s="102">
        <f t="shared" si="35"/>
        <v>1250</v>
      </c>
      <c r="D121" s="652">
        <v>1340</v>
      </c>
      <c r="E121" s="651">
        <v>71</v>
      </c>
      <c r="F121" s="102">
        <v>1397</v>
      </c>
      <c r="G121" s="652">
        <v>1303</v>
      </c>
      <c r="H121" s="651">
        <v>71</v>
      </c>
      <c r="I121" s="102">
        <v>1397</v>
      </c>
      <c r="J121" s="652">
        <v>1303</v>
      </c>
      <c r="N121" s="650" t="s">
        <v>8</v>
      </c>
      <c r="O121" s="651">
        <v>2811</v>
      </c>
      <c r="P121" s="102">
        <f t="shared" si="36"/>
        <v>7915</v>
      </c>
      <c r="Q121" s="652">
        <v>10726</v>
      </c>
      <c r="R121" s="651">
        <v>1937</v>
      </c>
      <c r="S121" s="102">
        <v>4511</v>
      </c>
      <c r="T121" s="652">
        <v>9336</v>
      </c>
      <c r="U121" s="651">
        <v>1937</v>
      </c>
      <c r="V121" s="102">
        <v>4511</v>
      </c>
      <c r="W121" s="652">
        <v>9336</v>
      </c>
    </row>
    <row r="122" spans="1:23" x14ac:dyDescent="0.2">
      <c r="A122" s="650" t="s">
        <v>9</v>
      </c>
      <c r="B122" s="651">
        <v>100</v>
      </c>
      <c r="C122" s="102">
        <f t="shared" si="35"/>
        <v>1200</v>
      </c>
      <c r="D122" s="652">
        <v>1300</v>
      </c>
      <c r="E122" s="651">
        <v>101</v>
      </c>
      <c r="F122" s="102">
        <v>1050</v>
      </c>
      <c r="G122" s="652">
        <v>1528</v>
      </c>
      <c r="H122" s="651">
        <v>101</v>
      </c>
      <c r="I122" s="102">
        <v>1050</v>
      </c>
      <c r="J122" s="652">
        <v>1528</v>
      </c>
      <c r="N122" s="650" t="s">
        <v>9</v>
      </c>
      <c r="O122" s="651">
        <v>2811</v>
      </c>
      <c r="P122" s="102">
        <f t="shared" si="36"/>
        <v>8239</v>
      </c>
      <c r="Q122" s="652">
        <v>11050</v>
      </c>
      <c r="R122" s="651">
        <v>3679</v>
      </c>
      <c r="S122" s="102">
        <v>8383</v>
      </c>
      <c r="T122" s="652">
        <v>12066</v>
      </c>
      <c r="U122" s="651">
        <v>3679</v>
      </c>
      <c r="V122" s="102">
        <v>8383</v>
      </c>
      <c r="W122" s="652">
        <v>12066</v>
      </c>
    </row>
    <row r="123" spans="1:23" x14ac:dyDescent="0.2">
      <c r="A123" s="650" t="s">
        <v>10</v>
      </c>
      <c r="B123" s="651">
        <v>90</v>
      </c>
      <c r="C123" s="102">
        <f t="shared" si="35"/>
        <v>1470</v>
      </c>
      <c r="D123" s="652">
        <v>1560</v>
      </c>
      <c r="E123" s="651">
        <v>58</v>
      </c>
      <c r="F123" s="102">
        <v>1103</v>
      </c>
      <c r="G123" s="652">
        <v>1471</v>
      </c>
      <c r="H123" s="651">
        <v>58</v>
      </c>
      <c r="I123" s="102">
        <v>1103</v>
      </c>
      <c r="J123" s="652">
        <v>1471</v>
      </c>
      <c r="N123" s="650" t="s">
        <v>10</v>
      </c>
      <c r="O123" s="651">
        <v>2811</v>
      </c>
      <c r="P123" s="102">
        <f t="shared" si="36"/>
        <v>7938</v>
      </c>
      <c r="Q123" s="652">
        <v>10749</v>
      </c>
      <c r="R123" s="651">
        <v>1653</v>
      </c>
      <c r="S123" s="102">
        <v>6022</v>
      </c>
      <c r="T123" s="652">
        <v>7682</v>
      </c>
      <c r="U123" s="651">
        <v>1653</v>
      </c>
      <c r="V123" s="102">
        <v>6022</v>
      </c>
      <c r="W123" s="652">
        <v>7682</v>
      </c>
    </row>
    <row r="124" spans="1:23" x14ac:dyDescent="0.2">
      <c r="A124" s="650" t="s">
        <v>11</v>
      </c>
      <c r="B124" s="651">
        <v>50</v>
      </c>
      <c r="C124" s="102">
        <f t="shared" si="35"/>
        <v>1200</v>
      </c>
      <c r="D124" s="652">
        <v>1250</v>
      </c>
      <c r="E124" s="651">
        <v>51</v>
      </c>
      <c r="F124" s="102">
        <v>1349</v>
      </c>
      <c r="G124" s="652">
        <v>1434</v>
      </c>
      <c r="H124" s="651">
        <v>51</v>
      </c>
      <c r="I124" s="102">
        <v>1349</v>
      </c>
      <c r="J124" s="652">
        <v>1434</v>
      </c>
      <c r="N124" s="650" t="s">
        <v>11</v>
      </c>
      <c r="O124" s="651">
        <v>2811</v>
      </c>
      <c r="P124" s="102">
        <f t="shared" si="36"/>
        <v>7938</v>
      </c>
      <c r="Q124" s="652">
        <v>10749</v>
      </c>
      <c r="R124" s="651">
        <v>6524</v>
      </c>
      <c r="S124" s="102">
        <v>14611</v>
      </c>
      <c r="T124" s="652">
        <v>18469</v>
      </c>
      <c r="U124" s="651">
        <v>6524</v>
      </c>
      <c r="V124" s="102">
        <v>14611</v>
      </c>
      <c r="W124" s="652">
        <v>18469</v>
      </c>
    </row>
    <row r="125" spans="1:23" x14ac:dyDescent="0.2">
      <c r="A125" s="650" t="s">
        <v>12</v>
      </c>
      <c r="B125" s="651">
        <v>50</v>
      </c>
      <c r="C125" s="102">
        <f t="shared" si="35"/>
        <v>1249</v>
      </c>
      <c r="D125" s="652">
        <v>1299</v>
      </c>
      <c r="E125" s="651">
        <v>75</v>
      </c>
      <c r="F125" s="102">
        <v>1293</v>
      </c>
      <c r="G125" s="652">
        <v>1282</v>
      </c>
      <c r="H125" s="651">
        <v>75</v>
      </c>
      <c r="I125" s="102">
        <v>1293</v>
      </c>
      <c r="J125" s="652">
        <v>1282</v>
      </c>
      <c r="N125" s="650" t="s">
        <v>12</v>
      </c>
      <c r="O125" s="651">
        <v>2811</v>
      </c>
      <c r="P125" s="102">
        <f t="shared" si="36"/>
        <v>8239</v>
      </c>
      <c r="Q125" s="652">
        <v>11050</v>
      </c>
      <c r="R125" s="651">
        <v>3443</v>
      </c>
      <c r="S125" s="102">
        <v>7334</v>
      </c>
      <c r="T125" s="652">
        <v>10931</v>
      </c>
      <c r="U125" s="651">
        <v>3443</v>
      </c>
      <c r="V125" s="102">
        <v>7334</v>
      </c>
      <c r="W125" s="652">
        <v>10931</v>
      </c>
    </row>
    <row r="126" spans="1:23" x14ac:dyDescent="0.2">
      <c r="A126" s="650" t="s">
        <v>13</v>
      </c>
      <c r="B126" s="651">
        <v>110</v>
      </c>
      <c r="C126" s="102">
        <f t="shared" si="35"/>
        <v>1220</v>
      </c>
      <c r="D126" s="652">
        <v>1330</v>
      </c>
      <c r="E126" s="651">
        <v>180</v>
      </c>
      <c r="F126" s="102">
        <v>1391</v>
      </c>
      <c r="G126" s="652">
        <v>1097</v>
      </c>
      <c r="H126" s="651">
        <v>180</v>
      </c>
      <c r="I126" s="102">
        <v>1391</v>
      </c>
      <c r="J126" s="652">
        <v>1097</v>
      </c>
      <c r="N126" s="650" t="s">
        <v>13</v>
      </c>
      <c r="O126" s="651">
        <v>2811</v>
      </c>
      <c r="P126" s="102">
        <f t="shared" si="36"/>
        <v>7938</v>
      </c>
      <c r="Q126" s="652">
        <v>10749</v>
      </c>
      <c r="R126" s="651">
        <f>110+1565</f>
        <v>1675</v>
      </c>
      <c r="S126" s="102">
        <v>10405</v>
      </c>
      <c r="T126" s="652">
        <v>9354</v>
      </c>
      <c r="U126" s="651">
        <f>110+1565</f>
        <v>1675</v>
      </c>
      <c r="V126" s="102">
        <v>10405</v>
      </c>
      <c r="W126" s="652">
        <v>9354</v>
      </c>
    </row>
    <row r="127" spans="1:23" x14ac:dyDescent="0.2">
      <c r="A127" s="650" t="s">
        <v>14</v>
      </c>
      <c r="B127" s="651">
        <v>200</v>
      </c>
      <c r="C127" s="102">
        <f t="shared" si="35"/>
        <v>1170</v>
      </c>
      <c r="D127" s="652">
        <v>1370</v>
      </c>
      <c r="E127" s="651"/>
      <c r="F127" s="102">
        <v>1749</v>
      </c>
      <c r="G127" s="652">
        <v>1727</v>
      </c>
      <c r="H127" s="651"/>
      <c r="I127" s="102">
        <v>1749</v>
      </c>
      <c r="J127" s="652">
        <v>1727</v>
      </c>
      <c r="N127" s="650" t="s">
        <v>14</v>
      </c>
      <c r="O127" s="651">
        <v>2811</v>
      </c>
      <c r="P127" s="102">
        <f t="shared" si="36"/>
        <v>8242</v>
      </c>
      <c r="Q127" s="652">
        <v>11053</v>
      </c>
      <c r="R127" s="651">
        <v>4078</v>
      </c>
      <c r="S127" s="102">
        <v>10443</v>
      </c>
      <c r="T127" s="652">
        <v>17865</v>
      </c>
      <c r="U127" s="651">
        <v>4078</v>
      </c>
      <c r="V127" s="102">
        <v>10443</v>
      </c>
      <c r="W127" s="652">
        <v>17865</v>
      </c>
    </row>
    <row r="128" spans="1:23" x14ac:dyDescent="0.2">
      <c r="A128" s="650" t="s">
        <v>15</v>
      </c>
      <c r="B128" s="651">
        <v>82</v>
      </c>
      <c r="C128" s="102">
        <f t="shared" si="35"/>
        <v>1308</v>
      </c>
      <c r="D128" s="652">
        <v>1390</v>
      </c>
      <c r="E128" s="651">
        <v>200</v>
      </c>
      <c r="F128" s="102">
        <v>1586</v>
      </c>
      <c r="G128" s="652">
        <v>1467</v>
      </c>
      <c r="H128" s="651">
        <v>200</v>
      </c>
      <c r="I128" s="102">
        <v>1586</v>
      </c>
      <c r="J128" s="652">
        <v>1467</v>
      </c>
      <c r="N128" s="650" t="s">
        <v>15</v>
      </c>
      <c r="O128" s="651">
        <v>2811</v>
      </c>
      <c r="P128" s="102">
        <f t="shared" si="36"/>
        <v>7938</v>
      </c>
      <c r="Q128" s="652">
        <v>10749</v>
      </c>
      <c r="R128" s="651">
        <v>1884</v>
      </c>
      <c r="S128" s="102">
        <v>7261</v>
      </c>
      <c r="T128" s="652">
        <v>11615</v>
      </c>
      <c r="U128" s="651">
        <v>1884</v>
      </c>
      <c r="V128" s="102">
        <v>7261</v>
      </c>
      <c r="W128" s="652">
        <v>11615</v>
      </c>
    </row>
    <row r="129" spans="1:23" ht="13.5" thickBot="1" x14ac:dyDescent="0.25">
      <c r="A129" s="653" t="s">
        <v>16</v>
      </c>
      <c r="B129" s="654">
        <v>70</v>
      </c>
      <c r="C129" s="655">
        <f t="shared" si="35"/>
        <v>1180</v>
      </c>
      <c r="D129" s="656">
        <v>1250</v>
      </c>
      <c r="E129" s="654">
        <v>98</v>
      </c>
      <c r="F129" s="655">
        <v>2625</v>
      </c>
      <c r="G129" s="656">
        <f>3123+540</f>
        <v>3663</v>
      </c>
      <c r="H129" s="654">
        <v>98</v>
      </c>
      <c r="I129" s="655">
        <v>2625</v>
      </c>
      <c r="J129" s="656">
        <v>3123</v>
      </c>
      <c r="N129" s="653" t="s">
        <v>16</v>
      </c>
      <c r="O129" s="654">
        <v>2812</v>
      </c>
      <c r="P129" s="655">
        <f t="shared" si="36"/>
        <v>7936</v>
      </c>
      <c r="Q129" s="656">
        <v>10748</v>
      </c>
      <c r="R129" s="654">
        <f>6008-642</f>
        <v>5366</v>
      </c>
      <c r="S129" s="655">
        <v>13892</v>
      </c>
      <c r="T129" s="656">
        <f>12962+3999</f>
        <v>16961</v>
      </c>
      <c r="U129" s="654">
        <v>6008</v>
      </c>
      <c r="V129" s="655">
        <v>13892</v>
      </c>
      <c r="W129" s="656">
        <f>12962-82</f>
        <v>12880</v>
      </c>
    </row>
    <row r="130" spans="1:23" ht="13.5" thickBot="1" x14ac:dyDescent="0.25">
      <c r="A130" s="657" t="s">
        <v>17</v>
      </c>
      <c r="B130" s="658">
        <f t="shared" ref="B130:J130" si="37">SUM(B118:B129)</f>
        <v>1267</v>
      </c>
      <c r="C130" s="659">
        <f t="shared" si="37"/>
        <v>14732</v>
      </c>
      <c r="D130" s="660">
        <f t="shared" si="37"/>
        <v>15999</v>
      </c>
      <c r="E130" s="658">
        <f t="shared" si="37"/>
        <v>1243</v>
      </c>
      <c r="F130" s="659">
        <f t="shared" si="37"/>
        <v>16424</v>
      </c>
      <c r="G130" s="660">
        <f t="shared" si="37"/>
        <v>17667</v>
      </c>
      <c r="H130" s="658">
        <f t="shared" si="37"/>
        <v>1243</v>
      </c>
      <c r="I130" s="659">
        <f t="shared" si="37"/>
        <v>16424</v>
      </c>
      <c r="J130" s="660">
        <f t="shared" si="37"/>
        <v>17127</v>
      </c>
      <c r="N130" s="657" t="s">
        <v>17</v>
      </c>
      <c r="O130" s="658">
        <f t="shared" ref="O130:W130" si="38">SUM(O118:O129)</f>
        <v>35885</v>
      </c>
      <c r="P130" s="659">
        <f t="shared" si="38"/>
        <v>94566</v>
      </c>
      <c r="Q130" s="660">
        <f t="shared" si="38"/>
        <v>130451</v>
      </c>
      <c r="R130" s="658">
        <f t="shared" si="38"/>
        <v>39363</v>
      </c>
      <c r="S130" s="659">
        <f t="shared" si="38"/>
        <v>102109</v>
      </c>
      <c r="T130" s="660">
        <f t="shared" si="38"/>
        <v>141472</v>
      </c>
      <c r="U130" s="658">
        <f t="shared" si="38"/>
        <v>40005</v>
      </c>
      <c r="V130" s="659">
        <f t="shared" si="38"/>
        <v>102109</v>
      </c>
      <c r="W130" s="660">
        <f t="shared" si="38"/>
        <v>137391</v>
      </c>
    </row>
    <row r="133" spans="1:23" x14ac:dyDescent="0.2">
      <c r="J133" s="628" t="s">
        <v>1848</v>
      </c>
    </row>
    <row r="134" spans="1:23" x14ac:dyDescent="0.2">
      <c r="J134" s="628"/>
    </row>
    <row r="135" spans="1:23" x14ac:dyDescent="0.2">
      <c r="C135" s="928" t="s">
        <v>132</v>
      </c>
      <c r="D135" s="928"/>
      <c r="E135" s="928"/>
      <c r="F135" s="928"/>
      <c r="G135" s="928"/>
      <c r="H135" s="928"/>
      <c r="I135" s="626"/>
    </row>
    <row r="136" spans="1:23" x14ac:dyDescent="0.2">
      <c r="C136" s="639"/>
      <c r="D136" s="639"/>
      <c r="E136" s="639"/>
      <c r="F136" s="639"/>
      <c r="G136" s="639"/>
      <c r="H136" s="639"/>
      <c r="I136" s="626"/>
    </row>
    <row r="137" spans="1:23" x14ac:dyDescent="0.2">
      <c r="C137" s="639"/>
      <c r="D137" s="639"/>
      <c r="E137" s="639"/>
      <c r="F137" s="639"/>
      <c r="G137" s="639"/>
      <c r="H137" s="639"/>
      <c r="I137" s="626"/>
    </row>
    <row r="138" spans="1:23" x14ac:dyDescent="0.2">
      <c r="J138" s="628" t="s">
        <v>0</v>
      </c>
    </row>
    <row r="139" spans="1:23" x14ac:dyDescent="0.2">
      <c r="A139" s="929" t="s">
        <v>2</v>
      </c>
      <c r="B139" s="922" t="s">
        <v>452</v>
      </c>
      <c r="C139" s="930"/>
      <c r="D139" s="931"/>
      <c r="E139" s="922" t="s">
        <v>452</v>
      </c>
      <c r="F139" s="930"/>
      <c r="G139" s="931"/>
      <c r="H139" s="922" t="s">
        <v>452</v>
      </c>
      <c r="I139" s="930"/>
      <c r="J139" s="931"/>
    </row>
    <row r="140" spans="1:23" x14ac:dyDescent="0.2">
      <c r="A140" s="929"/>
      <c r="B140" s="663"/>
      <c r="C140" s="643" t="s">
        <v>562</v>
      </c>
      <c r="D140" s="664"/>
      <c r="E140" s="663"/>
      <c r="F140" s="643" t="s">
        <v>1309</v>
      </c>
      <c r="G140" s="664"/>
      <c r="H140" s="663"/>
      <c r="I140" s="643" t="s">
        <v>1312</v>
      </c>
      <c r="J140" s="664"/>
    </row>
    <row r="141" spans="1:23" x14ac:dyDescent="0.2">
      <c r="A141" s="929"/>
      <c r="B141" s="922" t="s">
        <v>3</v>
      </c>
      <c r="C141" s="923"/>
      <c r="D141" s="920" t="s">
        <v>4</v>
      </c>
      <c r="E141" s="922" t="s">
        <v>3</v>
      </c>
      <c r="F141" s="923"/>
      <c r="G141" s="920" t="s">
        <v>4</v>
      </c>
      <c r="H141" s="922" t="s">
        <v>3</v>
      </c>
      <c r="I141" s="923"/>
      <c r="J141" s="920" t="s">
        <v>4</v>
      </c>
    </row>
    <row r="142" spans="1:23" s="661" customFormat="1" ht="33.75" x14ac:dyDescent="0.2">
      <c r="A142" s="205"/>
      <c r="B142" s="665" t="s">
        <v>390</v>
      </c>
      <c r="C142" s="205" t="s">
        <v>391</v>
      </c>
      <c r="D142" s="921"/>
      <c r="E142" s="665" t="s">
        <v>390</v>
      </c>
      <c r="F142" s="205" t="s">
        <v>391</v>
      </c>
      <c r="G142" s="921"/>
      <c r="H142" s="665" t="s">
        <v>390</v>
      </c>
      <c r="I142" s="205" t="s">
        <v>391</v>
      </c>
      <c r="J142" s="921"/>
    </row>
    <row r="143" spans="1:23" x14ac:dyDescent="0.2">
      <c r="A143" s="104" t="s">
        <v>5</v>
      </c>
      <c r="B143" s="666">
        <v>9861</v>
      </c>
      <c r="C143" s="102">
        <v>6682</v>
      </c>
      <c r="D143" s="652">
        <v>15908</v>
      </c>
      <c r="E143" s="666">
        <v>8900</v>
      </c>
      <c r="F143" s="102">
        <v>8046</v>
      </c>
      <c r="G143" s="652">
        <v>31249</v>
      </c>
      <c r="H143" s="666">
        <v>8900</v>
      </c>
      <c r="I143" s="102">
        <v>8046</v>
      </c>
      <c r="J143" s="652">
        <v>31249</v>
      </c>
    </row>
    <row r="144" spans="1:23" x14ac:dyDescent="0.2">
      <c r="A144" s="104" t="s">
        <v>6</v>
      </c>
      <c r="B144" s="666">
        <v>9861</v>
      </c>
      <c r="C144" s="102">
        <v>6683</v>
      </c>
      <c r="D144" s="652">
        <v>15908</v>
      </c>
      <c r="E144" s="666">
        <v>7612</v>
      </c>
      <c r="F144" s="102">
        <v>8047</v>
      </c>
      <c r="G144" s="652">
        <v>7779</v>
      </c>
      <c r="H144" s="666">
        <v>7612</v>
      </c>
      <c r="I144" s="102">
        <v>8047</v>
      </c>
      <c r="J144" s="652">
        <v>7779</v>
      </c>
    </row>
    <row r="145" spans="1:10" x14ac:dyDescent="0.2">
      <c r="A145" s="104" t="s">
        <v>7</v>
      </c>
      <c r="B145" s="666">
        <v>9862</v>
      </c>
      <c r="C145" s="102">
        <v>6682</v>
      </c>
      <c r="D145" s="652">
        <v>15908</v>
      </c>
      <c r="E145" s="666">
        <v>12322</v>
      </c>
      <c r="F145" s="102">
        <v>8041</v>
      </c>
      <c r="G145" s="652">
        <v>5739</v>
      </c>
      <c r="H145" s="666">
        <v>12322</v>
      </c>
      <c r="I145" s="102">
        <v>8041</v>
      </c>
      <c r="J145" s="652">
        <v>5739</v>
      </c>
    </row>
    <row r="146" spans="1:10" x14ac:dyDescent="0.2">
      <c r="A146" s="104" t="s">
        <v>8</v>
      </c>
      <c r="B146" s="666">
        <v>9862</v>
      </c>
      <c r="C146" s="102">
        <v>6682</v>
      </c>
      <c r="D146" s="652">
        <v>15908</v>
      </c>
      <c r="E146" s="666">
        <v>7803</v>
      </c>
      <c r="F146" s="102">
        <v>12389</v>
      </c>
      <c r="G146" s="652">
        <v>14974</v>
      </c>
      <c r="H146" s="666">
        <v>7803</v>
      </c>
      <c r="I146" s="102">
        <v>12389</v>
      </c>
      <c r="J146" s="652">
        <v>14974</v>
      </c>
    </row>
    <row r="147" spans="1:10" x14ac:dyDescent="0.2">
      <c r="A147" s="104" t="s">
        <v>9</v>
      </c>
      <c r="B147" s="666">
        <v>9861</v>
      </c>
      <c r="C147" s="102">
        <v>6683</v>
      </c>
      <c r="D147" s="652">
        <v>19626</v>
      </c>
      <c r="E147" s="666">
        <v>8358</v>
      </c>
      <c r="F147" s="102">
        <v>17008</v>
      </c>
      <c r="G147" s="652">
        <v>23224</v>
      </c>
      <c r="H147" s="666">
        <v>8358</v>
      </c>
      <c r="I147" s="102">
        <v>17008</v>
      </c>
      <c r="J147" s="652">
        <v>23224</v>
      </c>
    </row>
    <row r="148" spans="1:10" x14ac:dyDescent="0.2">
      <c r="A148" s="104" t="s">
        <v>10</v>
      </c>
      <c r="B148" s="666">
        <v>9861</v>
      </c>
      <c r="C148" s="102">
        <v>6682</v>
      </c>
      <c r="D148" s="652">
        <v>19626</v>
      </c>
      <c r="E148" s="666">
        <v>7414</v>
      </c>
      <c r="F148" s="102">
        <v>8323</v>
      </c>
      <c r="G148" s="652">
        <v>14548</v>
      </c>
      <c r="H148" s="666">
        <v>7414</v>
      </c>
      <c r="I148" s="102">
        <v>8323</v>
      </c>
      <c r="J148" s="652">
        <v>14548</v>
      </c>
    </row>
    <row r="149" spans="1:10" x14ac:dyDescent="0.2">
      <c r="A149" s="104" t="s">
        <v>11</v>
      </c>
      <c r="B149" s="666">
        <v>9862</v>
      </c>
      <c r="C149" s="102">
        <v>6682</v>
      </c>
      <c r="D149" s="652">
        <v>15908</v>
      </c>
      <c r="E149" s="666">
        <v>9712</v>
      </c>
      <c r="F149" s="102">
        <v>8392</v>
      </c>
      <c r="G149" s="652">
        <v>15009</v>
      </c>
      <c r="H149" s="666">
        <v>9712</v>
      </c>
      <c r="I149" s="102">
        <v>8392</v>
      </c>
      <c r="J149" s="652">
        <v>15009</v>
      </c>
    </row>
    <row r="150" spans="1:10" x14ac:dyDescent="0.2">
      <c r="A150" s="104" t="s">
        <v>12</v>
      </c>
      <c r="B150" s="666">
        <v>9861</v>
      </c>
      <c r="C150" s="102">
        <v>6683</v>
      </c>
      <c r="D150" s="652">
        <v>15908</v>
      </c>
      <c r="E150" s="666">
        <v>7817</v>
      </c>
      <c r="F150" s="102">
        <v>0</v>
      </c>
      <c r="G150" s="652">
        <v>6396</v>
      </c>
      <c r="H150" s="666">
        <v>7817</v>
      </c>
      <c r="I150" s="102">
        <v>0</v>
      </c>
      <c r="J150" s="652">
        <v>6396</v>
      </c>
    </row>
    <row r="151" spans="1:10" x14ac:dyDescent="0.2">
      <c r="A151" s="104" t="s">
        <v>13</v>
      </c>
      <c r="B151" s="666">
        <v>9861</v>
      </c>
      <c r="C151" s="102">
        <v>6682</v>
      </c>
      <c r="D151" s="652">
        <v>15908</v>
      </c>
      <c r="E151" s="666">
        <v>9886</v>
      </c>
      <c r="F151" s="102">
        <v>3714</v>
      </c>
      <c r="G151" s="652">
        <v>16157</v>
      </c>
      <c r="H151" s="666">
        <v>9886</v>
      </c>
      <c r="I151" s="102">
        <v>3714</v>
      </c>
      <c r="J151" s="652">
        <v>16157</v>
      </c>
    </row>
    <row r="152" spans="1:10" x14ac:dyDescent="0.2">
      <c r="A152" s="104" t="s">
        <v>14</v>
      </c>
      <c r="B152" s="666">
        <v>9861</v>
      </c>
      <c r="C152" s="102">
        <v>6682</v>
      </c>
      <c r="D152" s="652">
        <v>15908</v>
      </c>
      <c r="E152" s="666">
        <v>11914</v>
      </c>
      <c r="F152" s="102">
        <v>8635</v>
      </c>
      <c r="G152" s="652">
        <v>34585</v>
      </c>
      <c r="H152" s="666">
        <v>19383</v>
      </c>
      <c r="I152" s="102">
        <v>8635</v>
      </c>
      <c r="J152" s="652">
        <v>24919</v>
      </c>
    </row>
    <row r="153" spans="1:10" x14ac:dyDescent="0.2">
      <c r="A153" s="104" t="s">
        <v>15</v>
      </c>
      <c r="B153" s="666">
        <v>9861</v>
      </c>
      <c r="C153" s="102">
        <v>6682</v>
      </c>
      <c r="D153" s="652">
        <v>15908</v>
      </c>
      <c r="E153" s="666">
        <v>14111</v>
      </c>
      <c r="F153" s="102">
        <v>3671</v>
      </c>
      <c r="G153" s="652">
        <v>14615</v>
      </c>
      <c r="H153" s="666">
        <v>9585</v>
      </c>
      <c r="I153" s="102">
        <v>3671</v>
      </c>
      <c r="J153" s="652">
        <v>14615</v>
      </c>
    </row>
    <row r="154" spans="1:10" x14ac:dyDescent="0.2">
      <c r="A154" s="104" t="s">
        <v>16</v>
      </c>
      <c r="B154" s="666">
        <v>9868</v>
      </c>
      <c r="C154" s="102">
        <v>6687</v>
      </c>
      <c r="D154" s="652">
        <v>16110</v>
      </c>
      <c r="E154" s="666">
        <v>12493</v>
      </c>
      <c r="F154" s="102">
        <v>9712</v>
      </c>
      <c r="G154" s="652">
        <v>30045</v>
      </c>
      <c r="H154" s="666">
        <v>12493</v>
      </c>
      <c r="I154" s="102">
        <v>9712</v>
      </c>
      <c r="J154" s="652">
        <v>30045</v>
      </c>
    </row>
    <row r="155" spans="1:10" x14ac:dyDescent="0.2">
      <c r="A155" s="634" t="s">
        <v>17</v>
      </c>
      <c r="B155" s="651">
        <f t="shared" ref="B155:J155" si="39">SUM(B143:B154)</f>
        <v>118342</v>
      </c>
      <c r="C155" s="102">
        <f t="shared" si="39"/>
        <v>80192</v>
      </c>
      <c r="D155" s="652">
        <f t="shared" si="39"/>
        <v>198534</v>
      </c>
      <c r="E155" s="651">
        <f t="shared" si="39"/>
        <v>118342</v>
      </c>
      <c r="F155" s="102">
        <f t="shared" si="39"/>
        <v>95978</v>
      </c>
      <c r="G155" s="652">
        <f t="shared" si="39"/>
        <v>214320</v>
      </c>
      <c r="H155" s="651">
        <f t="shared" si="39"/>
        <v>121285</v>
      </c>
      <c r="I155" s="102">
        <f t="shared" si="39"/>
        <v>95978</v>
      </c>
      <c r="J155" s="652">
        <f t="shared" si="39"/>
        <v>204654</v>
      </c>
    </row>
    <row r="156" spans="1:10" s="630" customFormat="1" ht="11.25" x14ac:dyDescent="0.2"/>
    <row r="157" spans="1:10" s="630" customFormat="1" ht="11.25" x14ac:dyDescent="0.2"/>
    <row r="158" spans="1:10" s="630" customFormat="1" ht="11.25" x14ac:dyDescent="0.2"/>
    <row r="159" spans="1:10" s="630" customFormat="1" ht="11.25" x14ac:dyDescent="0.2">
      <c r="E159" s="624"/>
      <c r="F159" s="624"/>
      <c r="G159" s="624"/>
      <c r="H159" s="624"/>
      <c r="I159" s="624"/>
    </row>
    <row r="160" spans="1:10" s="630" customFormat="1" ht="11.25" x14ac:dyDescent="0.2"/>
  </sheetData>
  <mergeCells count="120">
    <mergeCell ref="K9:M9"/>
    <mergeCell ref="N9:P9"/>
    <mergeCell ref="Q9:S9"/>
    <mergeCell ref="U9:W9"/>
    <mergeCell ref="X9:Z9"/>
    <mergeCell ref="AA9:AC9"/>
    <mergeCell ref="A4:AC4"/>
    <mergeCell ref="A8:A9"/>
    <mergeCell ref="B8:G8"/>
    <mergeCell ref="H8:M8"/>
    <mergeCell ref="N8:S8"/>
    <mergeCell ref="T8:W8"/>
    <mergeCell ref="X8:AC8"/>
    <mergeCell ref="B9:D9"/>
    <mergeCell ref="E9:G9"/>
    <mergeCell ref="H9:J9"/>
    <mergeCell ref="K33:M33"/>
    <mergeCell ref="N33:P33"/>
    <mergeCell ref="Q33:S33"/>
    <mergeCell ref="U33:W33"/>
    <mergeCell ref="X33:Z33"/>
    <mergeCell ref="AA33:AC33"/>
    <mergeCell ref="A29:AC29"/>
    <mergeCell ref="A32:A33"/>
    <mergeCell ref="B32:G32"/>
    <mergeCell ref="H32:M32"/>
    <mergeCell ref="N32:S32"/>
    <mergeCell ref="T32:W32"/>
    <mergeCell ref="X32:AC32"/>
    <mergeCell ref="B33:D33"/>
    <mergeCell ref="E33:G33"/>
    <mergeCell ref="H33:J33"/>
    <mergeCell ref="A70:F70"/>
    <mergeCell ref="N70:V70"/>
    <mergeCell ref="A76:A78"/>
    <mergeCell ref="B76:D76"/>
    <mergeCell ref="E76:G76"/>
    <mergeCell ref="H76:J76"/>
    <mergeCell ref="N76:N79"/>
    <mergeCell ref="O76:Q76"/>
    <mergeCell ref="R76:T76"/>
    <mergeCell ref="U76:W76"/>
    <mergeCell ref="O77:Q77"/>
    <mergeCell ref="R77:T77"/>
    <mergeCell ref="U77:W77"/>
    <mergeCell ref="B78:C78"/>
    <mergeCell ref="D78:D79"/>
    <mergeCell ref="E78:F78"/>
    <mergeCell ref="G78:G79"/>
    <mergeCell ref="H78:I78"/>
    <mergeCell ref="J78:J79"/>
    <mergeCell ref="O78:P78"/>
    <mergeCell ref="Q78:Q79"/>
    <mergeCell ref="R78:S78"/>
    <mergeCell ref="T78:T79"/>
    <mergeCell ref="U78:V78"/>
    <mergeCell ref="W78:W79"/>
    <mergeCell ref="A95:A98"/>
    <mergeCell ref="B95:D95"/>
    <mergeCell ref="E95:G95"/>
    <mergeCell ref="H95:J95"/>
    <mergeCell ref="N95:N98"/>
    <mergeCell ref="O95:Q95"/>
    <mergeCell ref="R95:T95"/>
    <mergeCell ref="U95:W95"/>
    <mergeCell ref="B96:D96"/>
    <mergeCell ref="E96:G96"/>
    <mergeCell ref="H96:J96"/>
    <mergeCell ref="O96:Q96"/>
    <mergeCell ref="R96:T96"/>
    <mergeCell ref="U96:W96"/>
    <mergeCell ref="O97:P97"/>
    <mergeCell ref="Q97:Q98"/>
    <mergeCell ref="R97:S97"/>
    <mergeCell ref="T97:T98"/>
    <mergeCell ref="U97:V97"/>
    <mergeCell ref="W97:W98"/>
    <mergeCell ref="B97:C97"/>
    <mergeCell ref="D97:D98"/>
    <mergeCell ref="E97:F97"/>
    <mergeCell ref="G97:G98"/>
    <mergeCell ref="H97:I97"/>
    <mergeCell ref="J97:J98"/>
    <mergeCell ref="R114:T114"/>
    <mergeCell ref="U114:W114"/>
    <mergeCell ref="B115:D115"/>
    <mergeCell ref="E115:G115"/>
    <mergeCell ref="H115:J115"/>
    <mergeCell ref="O115:Q115"/>
    <mergeCell ref="R115:T115"/>
    <mergeCell ref="U115:W115"/>
    <mergeCell ref="A114:A117"/>
    <mergeCell ref="B114:D114"/>
    <mergeCell ref="E114:G114"/>
    <mergeCell ref="H114:J114"/>
    <mergeCell ref="N114:N117"/>
    <mergeCell ref="O114:Q114"/>
    <mergeCell ref="B116:C116"/>
    <mergeCell ref="D116:D117"/>
    <mergeCell ref="E116:F116"/>
    <mergeCell ref="G116:G117"/>
    <mergeCell ref="G141:G142"/>
    <mergeCell ref="H141:I141"/>
    <mergeCell ref="J141:J142"/>
    <mergeCell ref="U116:V116"/>
    <mergeCell ref="W116:W117"/>
    <mergeCell ref="C135:H135"/>
    <mergeCell ref="A139:A141"/>
    <mergeCell ref="B139:D139"/>
    <mergeCell ref="E139:G139"/>
    <mergeCell ref="H139:J139"/>
    <mergeCell ref="B141:C141"/>
    <mergeCell ref="D141:D142"/>
    <mergeCell ref="E141:F141"/>
    <mergeCell ref="H116:I116"/>
    <mergeCell ref="J116:J117"/>
    <mergeCell ref="O116:P116"/>
    <mergeCell ref="Q116:Q117"/>
    <mergeCell ref="R116:S116"/>
    <mergeCell ref="T116:T117"/>
  </mergeCells>
  <printOptions horizontalCentered="1"/>
  <pageMargins left="0" right="0" top="0.35433070866141736" bottom="0.31496062992125984" header="0.27559055118110237" footer="0.19685039370078741"/>
  <pageSetup paperSize="9" scale="55" orientation="landscape" r:id="rId1"/>
  <headerFooter alignWithMargins="0">
    <oddHeader>&amp;LVeresegyház Város Önkormányzat</oddHeader>
  </headerFooter>
  <rowBreaks count="2" manualBreakCount="2">
    <brk id="67" max="28" man="1"/>
    <brk id="131" max="28" man="1"/>
  </rowBreaks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O37" sqref="O37"/>
    </sheetView>
  </sheetViews>
  <sheetFormatPr defaultRowHeight="12.75" x14ac:dyDescent="0.2"/>
  <cols>
    <col min="1" max="1" width="6.42578125" customWidth="1"/>
    <col min="2" max="2" width="58.28515625" customWidth="1"/>
    <col min="3" max="3" width="14.5703125" customWidth="1"/>
    <col min="4" max="4" width="14.7109375" customWidth="1"/>
    <col min="5" max="5" width="13.7109375" customWidth="1"/>
  </cols>
  <sheetData>
    <row r="1" spans="1:5" x14ac:dyDescent="0.2">
      <c r="B1" s="4"/>
      <c r="E1" s="545" t="s">
        <v>1849</v>
      </c>
    </row>
    <row r="3" spans="1:5" x14ac:dyDescent="0.2">
      <c r="B3" s="947" t="s">
        <v>22</v>
      </c>
      <c r="C3" s="947"/>
      <c r="D3" s="947"/>
      <c r="E3" s="947"/>
    </row>
    <row r="4" spans="1:5" x14ac:dyDescent="0.2">
      <c r="B4" s="948" t="s">
        <v>133</v>
      </c>
      <c r="C4" s="948"/>
      <c r="D4" s="948"/>
      <c r="E4" s="948"/>
    </row>
    <row r="5" spans="1:5" x14ac:dyDescent="0.2">
      <c r="B5" s="3"/>
      <c r="C5" s="2"/>
    </row>
    <row r="6" spans="1:5" x14ac:dyDescent="0.2">
      <c r="E6" s="1" t="s">
        <v>23</v>
      </c>
    </row>
    <row r="7" spans="1:5" ht="82.5" customHeight="1" x14ac:dyDescent="0.2">
      <c r="B7" s="8" t="s">
        <v>24</v>
      </c>
      <c r="C7" s="53" t="s">
        <v>564</v>
      </c>
      <c r="D7" s="97" t="s">
        <v>1310</v>
      </c>
      <c r="E7" s="97" t="s">
        <v>1313</v>
      </c>
    </row>
    <row r="8" spans="1:5" ht="13.5" customHeight="1" x14ac:dyDescent="0.2">
      <c r="A8" s="1" t="s">
        <v>67</v>
      </c>
      <c r="B8" s="952" t="s">
        <v>43</v>
      </c>
      <c r="C8" s="949">
        <f>500+500+500+350</f>
        <v>1850</v>
      </c>
      <c r="D8" s="949"/>
      <c r="E8" s="949"/>
    </row>
    <row r="9" spans="1:5" ht="13.5" customHeight="1" x14ac:dyDescent="0.2">
      <c r="B9" s="953"/>
      <c r="C9" s="950"/>
      <c r="D9" s="950"/>
      <c r="E9" s="950"/>
    </row>
    <row r="10" spans="1:5" ht="13.5" customHeight="1" x14ac:dyDescent="0.2">
      <c r="A10" s="1" t="s">
        <v>68</v>
      </c>
      <c r="B10" s="952" t="s">
        <v>44</v>
      </c>
      <c r="C10" s="951"/>
      <c r="D10" s="951"/>
      <c r="E10" s="951"/>
    </row>
    <row r="11" spans="1:5" ht="13.5" customHeight="1" x14ac:dyDescent="0.2">
      <c r="B11" s="954"/>
      <c r="C11" s="951"/>
      <c r="D11" s="951"/>
      <c r="E11" s="951"/>
    </row>
    <row r="12" spans="1:5" ht="13.5" customHeight="1" x14ac:dyDescent="0.2">
      <c r="A12" s="1" t="s">
        <v>69</v>
      </c>
      <c r="B12" s="11" t="s">
        <v>25</v>
      </c>
      <c r="C12" s="38"/>
      <c r="D12" s="38"/>
      <c r="E12" s="38"/>
    </row>
    <row r="13" spans="1:5" ht="13.5" customHeight="1" x14ac:dyDescent="0.2">
      <c r="A13" s="1" t="s">
        <v>457</v>
      </c>
      <c r="B13" s="12" t="s">
        <v>1</v>
      </c>
      <c r="C13" s="11"/>
      <c r="D13" s="54"/>
      <c r="E13" s="54"/>
    </row>
    <row r="14" spans="1:5" ht="13.5" customHeight="1" x14ac:dyDescent="0.2">
      <c r="A14" s="1" t="s">
        <v>458</v>
      </c>
      <c r="B14" s="12" t="s">
        <v>26</v>
      </c>
      <c r="C14" s="11"/>
      <c r="D14" s="54"/>
      <c r="E14" s="54"/>
    </row>
    <row r="15" spans="1:5" ht="13.5" customHeight="1" x14ac:dyDescent="0.2">
      <c r="A15" s="1" t="s">
        <v>459</v>
      </c>
      <c r="B15" s="12" t="s">
        <v>27</v>
      </c>
      <c r="C15" s="11"/>
      <c r="D15" s="54"/>
      <c r="E15" s="54"/>
    </row>
    <row r="16" spans="1:5" ht="13.5" customHeight="1" x14ac:dyDescent="0.2">
      <c r="A16" s="1" t="s">
        <v>460</v>
      </c>
      <c r="B16" s="12" t="s">
        <v>28</v>
      </c>
      <c r="C16" s="11"/>
      <c r="D16" s="54"/>
      <c r="E16" s="54"/>
    </row>
    <row r="17" spans="1:5" ht="13.5" customHeight="1" x14ac:dyDescent="0.2">
      <c r="A17" s="1" t="s">
        <v>461</v>
      </c>
      <c r="B17" s="12" t="s">
        <v>29</v>
      </c>
      <c r="C17" s="11"/>
      <c r="D17" s="54"/>
      <c r="E17" s="54"/>
    </row>
    <row r="18" spans="1:5" ht="13.5" customHeight="1" x14ac:dyDescent="0.2">
      <c r="A18" s="1" t="s">
        <v>462</v>
      </c>
      <c r="B18" s="12" t="s">
        <v>30</v>
      </c>
      <c r="C18" s="11"/>
      <c r="D18" s="54"/>
      <c r="E18" s="54"/>
    </row>
    <row r="19" spans="1:5" ht="13.5" customHeight="1" x14ac:dyDescent="0.2">
      <c r="A19" s="1" t="s">
        <v>463</v>
      </c>
      <c r="B19" s="12" t="s">
        <v>31</v>
      </c>
      <c r="C19" s="11"/>
      <c r="D19" s="54"/>
      <c r="E19" s="54"/>
    </row>
    <row r="20" spans="1:5" ht="13.5" customHeight="1" x14ac:dyDescent="0.2">
      <c r="A20" s="1" t="s">
        <v>464</v>
      </c>
      <c r="B20" s="13" t="s">
        <v>32</v>
      </c>
      <c r="C20" s="11"/>
      <c r="D20" s="54"/>
      <c r="E20" s="54"/>
    </row>
    <row r="21" spans="1:5" ht="13.5" customHeight="1" x14ac:dyDescent="0.2">
      <c r="A21" s="1" t="s">
        <v>465</v>
      </c>
      <c r="B21" s="13" t="s">
        <v>38</v>
      </c>
      <c r="C21" s="11"/>
      <c r="D21" s="54"/>
      <c r="E21" s="54"/>
    </row>
    <row r="22" spans="1:5" ht="13.5" customHeight="1" x14ac:dyDescent="0.2">
      <c r="A22" s="1" t="s">
        <v>466</v>
      </c>
      <c r="B22" s="10" t="s">
        <v>37</v>
      </c>
      <c r="C22" s="38">
        <v>7988</v>
      </c>
      <c r="D22" s="38">
        <v>7742</v>
      </c>
      <c r="E22" s="38">
        <v>7742</v>
      </c>
    </row>
    <row r="23" spans="1:5" ht="13.5" customHeight="1" x14ac:dyDescent="0.2">
      <c r="A23" s="1" t="s">
        <v>467</v>
      </c>
      <c r="B23" s="11" t="s">
        <v>33</v>
      </c>
      <c r="C23" s="38"/>
      <c r="D23" s="38"/>
      <c r="E23" s="38"/>
    </row>
    <row r="24" spans="1:5" ht="13.5" customHeight="1" x14ac:dyDescent="0.2">
      <c r="A24" s="1" t="s">
        <v>468</v>
      </c>
      <c r="B24" s="12" t="s">
        <v>1</v>
      </c>
      <c r="C24" s="11"/>
      <c r="D24" s="54"/>
      <c r="E24" s="54"/>
    </row>
    <row r="25" spans="1:5" ht="13.5" customHeight="1" x14ac:dyDescent="0.2">
      <c r="A25" s="1" t="s">
        <v>469</v>
      </c>
      <c r="B25" s="12" t="s">
        <v>26</v>
      </c>
      <c r="C25" s="11"/>
      <c r="D25" s="54"/>
      <c r="E25" s="54"/>
    </row>
    <row r="26" spans="1:5" ht="13.5" customHeight="1" x14ac:dyDescent="0.2">
      <c r="A26" s="1" t="s">
        <v>470</v>
      </c>
      <c r="B26" s="12" t="s">
        <v>27</v>
      </c>
      <c r="C26" s="11"/>
      <c r="D26" s="54"/>
      <c r="E26" s="54"/>
    </row>
    <row r="27" spans="1:5" ht="13.5" customHeight="1" x14ac:dyDescent="0.2">
      <c r="A27" s="1" t="s">
        <v>471</v>
      </c>
      <c r="B27" s="12" t="s">
        <v>28</v>
      </c>
      <c r="C27" s="11"/>
      <c r="D27" s="54"/>
      <c r="E27" s="54"/>
    </row>
    <row r="28" spans="1:5" ht="13.5" customHeight="1" x14ac:dyDescent="0.2">
      <c r="A28" s="1" t="s">
        <v>472</v>
      </c>
      <c r="B28" s="12" t="s">
        <v>29</v>
      </c>
      <c r="C28" s="11"/>
      <c r="D28" s="54"/>
      <c r="E28" s="54"/>
    </row>
    <row r="29" spans="1:5" ht="13.5" customHeight="1" x14ac:dyDescent="0.2">
      <c r="A29" s="1" t="s">
        <v>473</v>
      </c>
      <c r="B29" s="12" t="s">
        <v>30</v>
      </c>
      <c r="C29" s="11"/>
      <c r="D29" s="54"/>
      <c r="E29" s="54"/>
    </row>
    <row r="30" spans="1:5" ht="13.5" customHeight="1" x14ac:dyDescent="0.2">
      <c r="A30" s="1" t="s">
        <v>474</v>
      </c>
      <c r="B30" s="12" t="s">
        <v>31</v>
      </c>
      <c r="C30" s="11"/>
      <c r="D30" s="54"/>
      <c r="E30" s="54"/>
    </row>
    <row r="31" spans="1:5" ht="13.5" customHeight="1" x14ac:dyDescent="0.2">
      <c r="A31" s="1" t="s">
        <v>475</v>
      </c>
      <c r="B31" s="13" t="s">
        <v>32</v>
      </c>
      <c r="C31" s="11"/>
      <c r="D31" s="54"/>
      <c r="E31" s="54"/>
    </row>
    <row r="32" spans="1:5" ht="13.5" customHeight="1" x14ac:dyDescent="0.2">
      <c r="A32" s="1" t="s">
        <v>476</v>
      </c>
      <c r="B32" s="13" t="s">
        <v>38</v>
      </c>
      <c r="C32" s="11"/>
      <c r="D32" s="54"/>
      <c r="E32" s="54"/>
    </row>
    <row r="33" spans="1:5" ht="13.5" customHeight="1" x14ac:dyDescent="0.2">
      <c r="A33" s="1" t="s">
        <v>477</v>
      </c>
      <c r="B33" s="10" t="s">
        <v>35</v>
      </c>
      <c r="C33" s="38">
        <v>2890</v>
      </c>
      <c r="D33" s="38">
        <v>3087</v>
      </c>
      <c r="E33" s="38">
        <v>3087</v>
      </c>
    </row>
    <row r="34" spans="1:5" ht="13.5" customHeight="1" x14ac:dyDescent="0.2">
      <c r="A34" s="1" t="s">
        <v>478</v>
      </c>
      <c r="B34" s="9" t="s">
        <v>39</v>
      </c>
      <c r="C34" s="38">
        <f>29829514/1000</f>
        <v>29829.513999999999</v>
      </c>
      <c r="D34" s="38">
        <v>29830</v>
      </c>
      <c r="E34" s="38">
        <v>29830</v>
      </c>
    </row>
    <row r="35" spans="1:5" ht="13.5" customHeight="1" x14ac:dyDescent="0.2">
      <c r="A35" s="1" t="s">
        <v>479</v>
      </c>
      <c r="B35" s="9" t="s">
        <v>40</v>
      </c>
      <c r="C35" s="38">
        <v>137228.22</v>
      </c>
      <c r="D35" s="38">
        <v>75685</v>
      </c>
      <c r="E35" s="38">
        <v>75685</v>
      </c>
    </row>
    <row r="36" spans="1:5" ht="13.5" customHeight="1" x14ac:dyDescent="0.2">
      <c r="A36" s="1" t="s">
        <v>480</v>
      </c>
      <c r="B36" s="9" t="s">
        <v>34</v>
      </c>
      <c r="C36" s="11"/>
      <c r="D36" s="54"/>
      <c r="E36" s="54"/>
    </row>
    <row r="37" spans="1:5" ht="15" customHeight="1" x14ac:dyDescent="0.2">
      <c r="B37" s="6" t="s">
        <v>36</v>
      </c>
      <c r="C37" s="39">
        <f>+C8+C10+C12+C22+C33+C23+C34+C35+C36</f>
        <v>179785.734</v>
      </c>
      <c r="D37" s="39">
        <f>+D8+D10+D12+D22+D33+D23+D34+D35+D36</f>
        <v>116344</v>
      </c>
      <c r="E37" s="39">
        <f>+E8+E10+E12+E22+E33+E23+E34+E35+E36</f>
        <v>116344</v>
      </c>
    </row>
    <row r="39" spans="1:5" x14ac:dyDescent="0.2">
      <c r="B39" s="5" t="s">
        <v>41</v>
      </c>
    </row>
    <row r="41" spans="1:5" x14ac:dyDescent="0.2">
      <c r="B41" s="5" t="s">
        <v>41</v>
      </c>
    </row>
    <row r="43" spans="1:5" x14ac:dyDescent="0.2">
      <c r="A43" s="1">
        <v>1</v>
      </c>
      <c r="B43" s="5" t="s">
        <v>481</v>
      </c>
    </row>
    <row r="45" spans="1:5" x14ac:dyDescent="0.2">
      <c r="A45" s="1">
        <v>13</v>
      </c>
      <c r="B45" s="37" t="s">
        <v>344</v>
      </c>
    </row>
    <row r="46" spans="1:5" x14ac:dyDescent="0.2">
      <c r="A46" s="1"/>
      <c r="B46" s="37"/>
    </row>
    <row r="47" spans="1:5" x14ac:dyDescent="0.2">
      <c r="A47" s="1">
        <v>24</v>
      </c>
      <c r="B47" s="37" t="s">
        <v>345</v>
      </c>
    </row>
    <row r="48" spans="1:5" x14ac:dyDescent="0.2">
      <c r="A48" s="1"/>
      <c r="B48" s="37" t="s">
        <v>346</v>
      </c>
    </row>
    <row r="49" spans="1:2" x14ac:dyDescent="0.2">
      <c r="A49" s="1"/>
      <c r="B49" s="37" t="s">
        <v>347</v>
      </c>
    </row>
    <row r="50" spans="1:2" x14ac:dyDescent="0.2">
      <c r="A50" s="1"/>
      <c r="B50" s="37" t="s">
        <v>348</v>
      </c>
    </row>
    <row r="51" spans="1:2" x14ac:dyDescent="0.2">
      <c r="A51" s="1"/>
      <c r="B51" s="37" t="s">
        <v>349</v>
      </c>
    </row>
    <row r="52" spans="1:2" x14ac:dyDescent="0.2">
      <c r="A52" s="1"/>
      <c r="B52" s="37"/>
    </row>
    <row r="53" spans="1:2" x14ac:dyDescent="0.2">
      <c r="A53" s="1">
        <v>25</v>
      </c>
      <c r="B53" t="s">
        <v>350</v>
      </c>
    </row>
    <row r="54" spans="1:2" x14ac:dyDescent="0.2">
      <c r="A54" s="1"/>
    </row>
    <row r="55" spans="1:2" x14ac:dyDescent="0.2">
      <c r="A55" s="1">
        <v>26</v>
      </c>
      <c r="B55" t="s">
        <v>351</v>
      </c>
    </row>
  </sheetData>
  <mergeCells count="10">
    <mergeCell ref="B3:E3"/>
    <mergeCell ref="B4:E4"/>
    <mergeCell ref="D8:D9"/>
    <mergeCell ref="D10:D11"/>
    <mergeCell ref="E8:E9"/>
    <mergeCell ref="E10:E11"/>
    <mergeCell ref="B8:B9"/>
    <mergeCell ref="B10:B11"/>
    <mergeCell ref="C10:C11"/>
    <mergeCell ref="C8:C9"/>
  </mergeCells>
  <phoneticPr fontId="0" type="noConversion"/>
  <printOptions horizontalCentered="1"/>
  <pageMargins left="0.43307086614173229" right="0.15748031496062992" top="0.35433070866141736" bottom="0.31496062992125984" header="0.27559055118110237" footer="0.19685039370078741"/>
  <pageSetup paperSize="9" scale="85" orientation="portrait" r:id="rId1"/>
  <headerFooter alignWithMargins="0">
    <oddHeader>&amp;LVeresegyház Város Önkormányzat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zoomScaleSheetLayoutView="130" workbookViewId="0">
      <selection activeCell="U43" sqref="U43"/>
    </sheetView>
  </sheetViews>
  <sheetFormatPr defaultRowHeight="11.25" x14ac:dyDescent="0.2"/>
  <cols>
    <col min="1" max="2" width="9.140625" style="14"/>
    <col min="3" max="3" width="14.140625" style="14" customWidth="1"/>
    <col min="4" max="4" width="18.140625" style="14" customWidth="1"/>
    <col min="5" max="7" width="11.85546875" style="14" customWidth="1"/>
    <col min="8" max="8" width="11.7109375" style="14" customWidth="1"/>
    <col min="9" max="9" width="11.5703125" style="14" customWidth="1"/>
    <col min="10" max="11" width="9.85546875" style="14" customWidth="1"/>
    <col min="12" max="12" width="12.42578125" style="14" customWidth="1"/>
    <col min="13" max="13" width="13.28515625" style="14" customWidth="1"/>
    <col min="14" max="16384" width="9.140625" style="14"/>
  </cols>
  <sheetData>
    <row r="1" spans="1:14" x14ac:dyDescent="0.2">
      <c r="L1" s="972" t="s">
        <v>1850</v>
      </c>
      <c r="M1" s="972"/>
      <c r="N1" s="18"/>
    </row>
    <row r="3" spans="1:14" x14ac:dyDescent="0.2">
      <c r="A3" s="965" t="s">
        <v>65</v>
      </c>
      <c r="B3" s="965"/>
      <c r="C3" s="965"/>
      <c r="D3" s="965"/>
      <c r="E3" s="965"/>
      <c r="F3" s="965"/>
      <c r="G3" s="965"/>
      <c r="H3" s="965"/>
      <c r="I3" s="965"/>
      <c r="J3" s="965"/>
      <c r="K3" s="965"/>
      <c r="L3" s="965"/>
      <c r="M3" s="965"/>
      <c r="N3" s="965"/>
    </row>
    <row r="4" spans="1:14" x14ac:dyDescent="0.2">
      <c r="A4" s="608"/>
      <c r="B4" s="608"/>
      <c r="C4" s="608"/>
      <c r="D4" s="608"/>
      <c r="E4" s="608"/>
      <c r="F4" s="608"/>
      <c r="G4" s="608"/>
      <c r="H4" s="608"/>
      <c r="I4" s="608"/>
      <c r="J4" s="608"/>
      <c r="K4" s="608"/>
      <c r="L4" s="608"/>
      <c r="M4" s="608"/>
      <c r="N4" s="608"/>
    </row>
    <row r="5" spans="1:14" x14ac:dyDescent="0.2">
      <c r="A5" s="608"/>
      <c r="B5" s="609" t="s">
        <v>55</v>
      </c>
      <c r="C5" s="609"/>
      <c r="D5" s="967" t="s">
        <v>352</v>
      </c>
      <c r="E5" s="967"/>
      <c r="F5" s="967"/>
      <c r="G5" s="967"/>
      <c r="H5" s="967"/>
      <c r="I5" s="967"/>
      <c r="J5" s="967"/>
      <c r="K5" s="967"/>
      <c r="L5" s="967"/>
      <c r="M5" s="967"/>
      <c r="N5" s="18"/>
    </row>
    <row r="6" spans="1:14" x14ac:dyDescent="0.2">
      <c r="A6" s="608"/>
      <c r="B6" s="967" t="s">
        <v>56</v>
      </c>
      <c r="C6" s="967"/>
      <c r="D6" s="967" t="s">
        <v>353</v>
      </c>
      <c r="E6" s="967"/>
      <c r="F6" s="967"/>
      <c r="G6" s="967"/>
      <c r="H6" s="967"/>
      <c r="I6" s="967"/>
      <c r="J6" s="967"/>
      <c r="K6" s="967"/>
      <c r="L6" s="967"/>
      <c r="M6" s="967"/>
      <c r="N6" s="18"/>
    </row>
    <row r="7" spans="1:14" ht="16.5" customHeight="1" x14ac:dyDescent="0.2">
      <c r="A7" s="608"/>
      <c r="B7" s="608"/>
      <c r="C7" s="608"/>
      <c r="D7" s="608"/>
      <c r="E7" s="608"/>
      <c r="F7" s="608"/>
      <c r="G7" s="608"/>
      <c r="H7" s="608"/>
      <c r="I7" s="608"/>
      <c r="J7" s="608"/>
      <c r="K7" s="608"/>
      <c r="M7" s="546" t="s">
        <v>130</v>
      </c>
      <c r="N7" s="608"/>
    </row>
    <row r="8" spans="1:14" ht="36.75" customHeight="1" x14ac:dyDescent="0.2">
      <c r="A8" s="608"/>
      <c r="B8" s="961" t="s">
        <v>57</v>
      </c>
      <c r="C8" s="962"/>
      <c r="D8" s="963"/>
      <c r="E8" s="56" t="s">
        <v>565</v>
      </c>
      <c r="F8" s="56" t="s">
        <v>1309</v>
      </c>
      <c r="G8" s="56" t="s">
        <v>1312</v>
      </c>
      <c r="H8" s="610">
        <v>2015</v>
      </c>
      <c r="I8" s="610">
        <v>2016</v>
      </c>
      <c r="J8" s="610">
        <v>2017</v>
      </c>
      <c r="K8" s="610">
        <v>2018</v>
      </c>
      <c r="L8" s="611">
        <v>2019</v>
      </c>
      <c r="M8" s="610" t="s">
        <v>42</v>
      </c>
      <c r="N8" s="608"/>
    </row>
    <row r="9" spans="1:14" x14ac:dyDescent="0.2">
      <c r="A9" s="608"/>
      <c r="B9" s="959" t="s">
        <v>58</v>
      </c>
      <c r="C9" s="959"/>
      <c r="D9" s="959"/>
      <c r="E9" s="612"/>
      <c r="F9" s="612"/>
      <c r="G9" s="612"/>
      <c r="H9" s="612"/>
      <c r="I9" s="612"/>
      <c r="J9" s="612"/>
      <c r="K9" s="612"/>
      <c r="L9" s="612"/>
      <c r="M9" s="612"/>
      <c r="N9" s="608"/>
    </row>
    <row r="10" spans="1:14" x14ac:dyDescent="0.2">
      <c r="A10" s="608"/>
      <c r="B10" s="968" t="s">
        <v>59</v>
      </c>
      <c r="C10" s="959"/>
      <c r="D10" s="959"/>
      <c r="E10" s="612"/>
      <c r="F10" s="612"/>
      <c r="G10" s="612"/>
      <c r="H10" s="612"/>
      <c r="I10" s="612"/>
      <c r="J10" s="610"/>
      <c r="K10" s="612"/>
      <c r="L10" s="612"/>
      <c r="M10" s="612"/>
      <c r="N10" s="608"/>
    </row>
    <row r="11" spans="1:14" x14ac:dyDescent="0.2">
      <c r="A11" s="608"/>
      <c r="B11" s="959" t="s">
        <v>355</v>
      </c>
      <c r="C11" s="959"/>
      <c r="D11" s="959"/>
      <c r="E11" s="613">
        <v>38387</v>
      </c>
      <c r="F11" s="614">
        <v>37998</v>
      </c>
      <c r="G11" s="614">
        <v>37998</v>
      </c>
      <c r="H11" s="612"/>
      <c r="I11" s="612"/>
      <c r="J11" s="612"/>
      <c r="K11" s="612"/>
      <c r="L11" s="612"/>
      <c r="M11" s="613">
        <f>SUM(G11)</f>
        <v>37998</v>
      </c>
      <c r="N11" s="608"/>
    </row>
    <row r="12" spans="1:14" x14ac:dyDescent="0.2">
      <c r="A12" s="608"/>
      <c r="B12" s="960" t="s">
        <v>60</v>
      </c>
      <c r="C12" s="960"/>
      <c r="D12" s="960"/>
      <c r="E12" s="612"/>
      <c r="F12" s="615"/>
      <c r="G12" s="615"/>
      <c r="H12" s="612"/>
      <c r="I12" s="612"/>
      <c r="J12" s="612"/>
      <c r="K12" s="612"/>
      <c r="L12" s="612"/>
      <c r="M12" s="613"/>
      <c r="N12" s="608"/>
    </row>
    <row r="13" spans="1:14" x14ac:dyDescent="0.2">
      <c r="A13" s="608"/>
      <c r="B13" s="960" t="s">
        <v>19</v>
      </c>
      <c r="C13" s="960"/>
      <c r="D13" s="960"/>
      <c r="E13" s="612"/>
      <c r="F13" s="615"/>
      <c r="G13" s="615"/>
      <c r="H13" s="612"/>
      <c r="I13" s="612"/>
      <c r="J13" s="610"/>
      <c r="K13" s="612"/>
      <c r="L13" s="612"/>
      <c r="M13" s="613"/>
      <c r="N13" s="608"/>
    </row>
    <row r="14" spans="1:14" x14ac:dyDescent="0.2">
      <c r="A14" s="608"/>
      <c r="B14" s="960" t="s">
        <v>61</v>
      </c>
      <c r="C14" s="960"/>
      <c r="D14" s="960"/>
      <c r="E14" s="612"/>
      <c r="F14" s="615"/>
      <c r="G14" s="615"/>
      <c r="H14" s="612"/>
      <c r="I14" s="612"/>
      <c r="J14" s="612"/>
      <c r="K14" s="612"/>
      <c r="L14" s="612"/>
      <c r="M14" s="613"/>
      <c r="N14" s="608"/>
    </row>
    <row r="15" spans="1:14" x14ac:dyDescent="0.2">
      <c r="A15" s="608"/>
      <c r="B15" s="959"/>
      <c r="C15" s="959"/>
      <c r="D15" s="959"/>
      <c r="E15" s="613"/>
      <c r="F15" s="614"/>
      <c r="G15" s="614"/>
      <c r="H15" s="612"/>
      <c r="I15" s="612"/>
      <c r="J15" s="612"/>
      <c r="K15" s="612"/>
      <c r="L15" s="612"/>
      <c r="M15" s="613"/>
      <c r="N15" s="608"/>
    </row>
    <row r="16" spans="1:14" x14ac:dyDescent="0.2">
      <c r="A16" s="608"/>
      <c r="B16" s="616" t="s">
        <v>62</v>
      </c>
      <c r="C16" s="612"/>
      <c r="D16" s="612"/>
      <c r="E16" s="617">
        <f>SUM(E9:E15)</f>
        <v>38387</v>
      </c>
      <c r="F16" s="618">
        <f t="shared" ref="F16:G16" si="0">SUM(F9:F15)</f>
        <v>37998</v>
      </c>
      <c r="G16" s="618">
        <f t="shared" si="0"/>
        <v>37998</v>
      </c>
      <c r="H16" s="616"/>
      <c r="I16" s="616"/>
      <c r="J16" s="616"/>
      <c r="K16" s="616"/>
      <c r="L16" s="616"/>
      <c r="M16" s="617">
        <f>+G16</f>
        <v>37998</v>
      </c>
      <c r="N16" s="608"/>
    </row>
    <row r="17" spans="1:14" x14ac:dyDescent="0.2">
      <c r="A17" s="608"/>
      <c r="B17" s="608"/>
      <c r="C17" s="608"/>
      <c r="D17" s="608"/>
      <c r="E17" s="608"/>
      <c r="F17" s="619"/>
      <c r="G17" s="619"/>
      <c r="H17" s="608"/>
      <c r="I17" s="608"/>
      <c r="J17" s="608"/>
      <c r="K17" s="608"/>
      <c r="L17" s="608"/>
      <c r="M17" s="608"/>
      <c r="N17" s="608"/>
    </row>
    <row r="18" spans="1:14" x14ac:dyDescent="0.2">
      <c r="A18" s="608"/>
      <c r="B18" s="608"/>
      <c r="C18" s="608"/>
      <c r="D18" s="608"/>
      <c r="E18" s="608"/>
      <c r="F18" s="619"/>
      <c r="G18" s="619"/>
      <c r="H18" s="608"/>
      <c r="I18" s="608"/>
      <c r="J18" s="608"/>
      <c r="K18" s="608"/>
      <c r="L18" s="608"/>
      <c r="M18" s="608"/>
      <c r="N18" s="608"/>
    </row>
    <row r="19" spans="1:14" ht="36.75" customHeight="1" x14ac:dyDescent="0.2">
      <c r="A19" s="608"/>
      <c r="B19" s="961" t="s">
        <v>63</v>
      </c>
      <c r="C19" s="962"/>
      <c r="D19" s="963"/>
      <c r="E19" s="56" t="s">
        <v>565</v>
      </c>
      <c r="F19" s="168" t="s">
        <v>1309</v>
      </c>
      <c r="G19" s="168" t="s">
        <v>1312</v>
      </c>
      <c r="H19" s="610">
        <v>2015</v>
      </c>
      <c r="I19" s="610">
        <v>2016</v>
      </c>
      <c r="J19" s="610">
        <v>2017</v>
      </c>
      <c r="K19" s="610">
        <v>2018</v>
      </c>
      <c r="L19" s="610">
        <v>2019</v>
      </c>
      <c r="M19" s="610" t="s">
        <v>42</v>
      </c>
      <c r="N19" s="608"/>
    </row>
    <row r="20" spans="1:14" ht="23.45" customHeight="1" x14ac:dyDescent="0.2">
      <c r="A20" s="608"/>
      <c r="B20" s="955" t="s">
        <v>354</v>
      </c>
      <c r="C20" s="956"/>
      <c r="D20" s="957"/>
      <c r="E20" s="613">
        <v>1473</v>
      </c>
      <c r="F20" s="614">
        <v>1473</v>
      </c>
      <c r="G20" s="614">
        <v>1473</v>
      </c>
      <c r="H20" s="612"/>
      <c r="I20" s="612"/>
      <c r="J20" s="612"/>
      <c r="K20" s="612"/>
      <c r="L20" s="612"/>
      <c r="M20" s="613">
        <f>+G20</f>
        <v>1473</v>
      </c>
      <c r="N20" s="608"/>
    </row>
    <row r="21" spans="1:14" x14ac:dyDescent="0.2">
      <c r="A21" s="608"/>
      <c r="B21" s="961"/>
      <c r="C21" s="962"/>
      <c r="D21" s="963"/>
      <c r="E21" s="612"/>
      <c r="F21" s="612"/>
      <c r="G21" s="612"/>
      <c r="H21" s="612"/>
      <c r="I21" s="612"/>
      <c r="J21" s="612"/>
      <c r="K21" s="612"/>
      <c r="L21" s="612"/>
      <c r="M21" s="613"/>
      <c r="N21" s="608"/>
    </row>
    <row r="22" spans="1:14" x14ac:dyDescent="0.2">
      <c r="A22" s="608"/>
      <c r="B22" s="959"/>
      <c r="C22" s="959"/>
      <c r="D22" s="959"/>
      <c r="E22" s="612"/>
      <c r="F22" s="612"/>
      <c r="G22" s="612"/>
      <c r="H22" s="612"/>
      <c r="I22" s="612"/>
      <c r="J22" s="612"/>
      <c r="K22" s="612"/>
      <c r="L22" s="612"/>
      <c r="M22" s="613"/>
      <c r="N22" s="608"/>
    </row>
    <row r="23" spans="1:14" x14ac:dyDescent="0.2">
      <c r="A23" s="608"/>
      <c r="B23" s="960"/>
      <c r="C23" s="960"/>
      <c r="D23" s="960"/>
      <c r="E23" s="612"/>
      <c r="F23" s="612"/>
      <c r="G23" s="612"/>
      <c r="H23" s="612"/>
      <c r="I23" s="612"/>
      <c r="J23" s="612"/>
      <c r="K23" s="612"/>
      <c r="L23" s="612"/>
      <c r="M23" s="613"/>
      <c r="N23" s="608"/>
    </row>
    <row r="24" spans="1:14" x14ac:dyDescent="0.2">
      <c r="A24" s="608"/>
      <c r="B24" s="959"/>
      <c r="C24" s="959"/>
      <c r="D24" s="959"/>
      <c r="E24" s="612"/>
      <c r="F24" s="612"/>
      <c r="G24" s="612"/>
      <c r="H24" s="612"/>
      <c r="I24" s="612"/>
      <c r="J24" s="612"/>
      <c r="K24" s="612"/>
      <c r="L24" s="612"/>
      <c r="M24" s="613"/>
      <c r="N24" s="608"/>
    </row>
    <row r="25" spans="1:14" x14ac:dyDescent="0.2">
      <c r="A25" s="608"/>
      <c r="B25" s="958" t="s">
        <v>1335</v>
      </c>
      <c r="C25" s="959"/>
      <c r="D25" s="959"/>
      <c r="E25" s="617">
        <f>SUM(E20:E24)</f>
        <v>1473</v>
      </c>
      <c r="F25" s="617">
        <f t="shared" ref="F25:G25" si="1">SUM(F20:F24)</f>
        <v>1473</v>
      </c>
      <c r="G25" s="617">
        <f t="shared" si="1"/>
        <v>1473</v>
      </c>
      <c r="H25" s="616"/>
      <c r="I25" s="616"/>
      <c r="J25" s="616"/>
      <c r="K25" s="616"/>
      <c r="L25" s="620"/>
      <c r="M25" s="617">
        <f>+G25</f>
        <v>1473</v>
      </c>
      <c r="N25" s="608"/>
    </row>
    <row r="27" spans="1:14" x14ac:dyDescent="0.2">
      <c r="M27" s="966" t="s">
        <v>1851</v>
      </c>
      <c r="N27" s="966"/>
    </row>
    <row r="29" spans="1:14" x14ac:dyDescent="0.2">
      <c r="B29" s="609" t="s">
        <v>55</v>
      </c>
      <c r="C29" s="609"/>
      <c r="D29" s="967" t="s">
        <v>375</v>
      </c>
      <c r="E29" s="967"/>
      <c r="F29" s="967"/>
      <c r="G29" s="967"/>
      <c r="H29" s="967"/>
      <c r="I29" s="967"/>
      <c r="J29" s="967"/>
      <c r="K29" s="967"/>
      <c r="L29" s="967"/>
      <c r="M29" s="967"/>
    </row>
    <row r="30" spans="1:14" x14ac:dyDescent="0.2">
      <c r="B30" s="967" t="s">
        <v>56</v>
      </c>
      <c r="C30" s="967"/>
      <c r="D30" s="967" t="s">
        <v>376</v>
      </c>
      <c r="E30" s="967"/>
      <c r="F30" s="967"/>
      <c r="G30" s="967"/>
      <c r="H30" s="967"/>
      <c r="I30" s="967"/>
      <c r="J30" s="967"/>
      <c r="K30" s="967"/>
      <c r="L30" s="967"/>
      <c r="M30" s="967"/>
    </row>
    <row r="31" spans="1:14" x14ac:dyDescent="0.2">
      <c r="B31" s="608"/>
      <c r="C31" s="608"/>
      <c r="D31" s="608"/>
      <c r="E31" s="608"/>
      <c r="F31" s="608"/>
      <c r="G31" s="608"/>
      <c r="H31" s="608"/>
      <c r="I31" s="608"/>
      <c r="J31" s="608"/>
      <c r="K31" s="608"/>
      <c r="M31" s="546" t="s">
        <v>130</v>
      </c>
    </row>
    <row r="32" spans="1:14" ht="24.75" customHeight="1" x14ac:dyDescent="0.2">
      <c r="B32" s="961" t="s">
        <v>57</v>
      </c>
      <c r="C32" s="962"/>
      <c r="D32" s="963"/>
      <c r="E32" s="56" t="s">
        <v>565</v>
      </c>
      <c r="F32" s="56" t="s">
        <v>1309</v>
      </c>
      <c r="G32" s="56" t="s">
        <v>1312</v>
      </c>
      <c r="H32" s="610">
        <v>2015</v>
      </c>
      <c r="I32" s="610">
        <v>2016</v>
      </c>
      <c r="J32" s="610">
        <v>2017</v>
      </c>
      <c r="K32" s="610">
        <v>2018</v>
      </c>
      <c r="L32" s="611">
        <v>2019</v>
      </c>
      <c r="M32" s="610" t="s">
        <v>42</v>
      </c>
    </row>
    <row r="33" spans="2:13" x14ac:dyDescent="0.2">
      <c r="B33" s="959" t="s">
        <v>58</v>
      </c>
      <c r="C33" s="959"/>
      <c r="D33" s="959"/>
      <c r="E33" s="612"/>
      <c r="F33" s="612"/>
      <c r="G33" s="612"/>
      <c r="H33" s="612"/>
      <c r="I33" s="612"/>
      <c r="J33" s="612"/>
      <c r="K33" s="612"/>
      <c r="L33" s="612"/>
      <c r="M33" s="612"/>
    </row>
    <row r="34" spans="2:13" x14ac:dyDescent="0.2">
      <c r="B34" s="968" t="s">
        <v>59</v>
      </c>
      <c r="C34" s="959"/>
      <c r="D34" s="959"/>
      <c r="E34" s="612"/>
      <c r="F34" s="612"/>
      <c r="G34" s="612"/>
      <c r="H34" s="612"/>
      <c r="I34" s="612"/>
      <c r="J34" s="610"/>
      <c r="K34" s="612"/>
      <c r="L34" s="612"/>
      <c r="M34" s="612"/>
    </row>
    <row r="35" spans="2:13" x14ac:dyDescent="0.2">
      <c r="B35" s="959" t="s">
        <v>377</v>
      </c>
      <c r="C35" s="959"/>
      <c r="D35" s="959"/>
      <c r="E35" s="613">
        <v>20149</v>
      </c>
      <c r="F35" s="613">
        <v>0</v>
      </c>
      <c r="G35" s="613">
        <v>0</v>
      </c>
      <c r="H35" s="612"/>
      <c r="I35" s="612"/>
      <c r="J35" s="612"/>
      <c r="K35" s="612"/>
      <c r="L35" s="612"/>
      <c r="M35" s="613">
        <f>SUM(G35)</f>
        <v>0</v>
      </c>
    </row>
    <row r="36" spans="2:13" x14ac:dyDescent="0.2">
      <c r="B36" s="960" t="s">
        <v>60</v>
      </c>
      <c r="C36" s="960"/>
      <c r="D36" s="960"/>
      <c r="E36" s="612"/>
      <c r="F36" s="612"/>
      <c r="G36" s="612"/>
      <c r="H36" s="612"/>
      <c r="I36" s="612"/>
      <c r="J36" s="612"/>
      <c r="K36" s="612"/>
      <c r="L36" s="612"/>
      <c r="M36" s="613"/>
    </row>
    <row r="37" spans="2:13" x14ac:dyDescent="0.2">
      <c r="B37" s="960" t="s">
        <v>19</v>
      </c>
      <c r="C37" s="960"/>
      <c r="D37" s="960"/>
      <c r="E37" s="612"/>
      <c r="F37" s="612"/>
      <c r="G37" s="612"/>
      <c r="H37" s="612"/>
      <c r="I37" s="612"/>
      <c r="J37" s="610"/>
      <c r="K37" s="612"/>
      <c r="L37" s="612"/>
      <c r="M37" s="613"/>
    </row>
    <row r="38" spans="2:13" x14ac:dyDescent="0.2">
      <c r="B38" s="960" t="s">
        <v>61</v>
      </c>
      <c r="C38" s="960"/>
      <c r="D38" s="960"/>
      <c r="E38" s="612"/>
      <c r="F38" s="612"/>
      <c r="G38" s="612"/>
      <c r="H38" s="612"/>
      <c r="I38" s="612"/>
      <c r="J38" s="612"/>
      <c r="K38" s="612"/>
      <c r="L38" s="612"/>
      <c r="M38" s="613"/>
    </row>
    <row r="39" spans="2:13" x14ac:dyDescent="0.2">
      <c r="B39" s="959"/>
      <c r="C39" s="959"/>
      <c r="D39" s="959"/>
      <c r="E39" s="613"/>
      <c r="F39" s="613"/>
      <c r="G39" s="613"/>
      <c r="H39" s="612"/>
      <c r="I39" s="612"/>
      <c r="J39" s="612"/>
      <c r="K39" s="612"/>
      <c r="L39" s="612"/>
      <c r="M39" s="613"/>
    </row>
    <row r="40" spans="2:13" x14ac:dyDescent="0.2">
      <c r="B40" s="616" t="s">
        <v>62</v>
      </c>
      <c r="C40" s="612"/>
      <c r="D40" s="612"/>
      <c r="E40" s="617">
        <f>SUM(E33:E39)</f>
        <v>20149</v>
      </c>
      <c r="F40" s="617">
        <f>SUM(F33:F39)</f>
        <v>0</v>
      </c>
      <c r="G40" s="617">
        <f>SUM(G33:G39)</f>
        <v>0</v>
      </c>
      <c r="H40" s="616"/>
      <c r="I40" s="616"/>
      <c r="J40" s="616"/>
      <c r="K40" s="616"/>
      <c r="L40" s="616"/>
      <c r="M40" s="617">
        <f>+G40</f>
        <v>0</v>
      </c>
    </row>
    <row r="41" spans="2:13" x14ac:dyDescent="0.2">
      <c r="B41" s="608"/>
      <c r="C41" s="608"/>
      <c r="D41" s="608"/>
      <c r="E41" s="608"/>
      <c r="F41" s="608"/>
      <c r="G41" s="608"/>
      <c r="H41" s="608"/>
      <c r="I41" s="608"/>
      <c r="J41" s="608"/>
      <c r="K41" s="608"/>
      <c r="L41" s="608"/>
      <c r="M41" s="608"/>
    </row>
    <row r="42" spans="2:13" x14ac:dyDescent="0.2">
      <c r="B42" s="608"/>
      <c r="C42" s="608"/>
      <c r="D42" s="608"/>
      <c r="E42" s="608"/>
      <c r="F42" s="608"/>
      <c r="G42" s="608"/>
      <c r="H42" s="608"/>
      <c r="I42" s="608"/>
      <c r="J42" s="608"/>
      <c r="K42" s="608"/>
      <c r="L42" s="608"/>
      <c r="M42" s="608"/>
    </row>
    <row r="43" spans="2:13" ht="33.75" x14ac:dyDescent="0.2">
      <c r="B43" s="961" t="s">
        <v>63</v>
      </c>
      <c r="C43" s="962"/>
      <c r="D43" s="963"/>
      <c r="E43" s="56" t="s">
        <v>565</v>
      </c>
      <c r="F43" s="56" t="s">
        <v>1309</v>
      </c>
      <c r="G43" s="56" t="s">
        <v>1312</v>
      </c>
      <c r="H43" s="610">
        <v>2015</v>
      </c>
      <c r="I43" s="610">
        <v>2016</v>
      </c>
      <c r="J43" s="610">
        <v>2017</v>
      </c>
      <c r="K43" s="610">
        <v>2018</v>
      </c>
      <c r="L43" s="610">
        <v>2019</v>
      </c>
      <c r="M43" s="610" t="s">
        <v>42</v>
      </c>
    </row>
    <row r="44" spans="2:13" x14ac:dyDescent="0.2">
      <c r="B44" s="955" t="s">
        <v>378</v>
      </c>
      <c r="C44" s="956"/>
      <c r="D44" s="957"/>
      <c r="E44" s="613">
        <v>1007</v>
      </c>
      <c r="F44" s="613">
        <v>0</v>
      </c>
      <c r="G44" s="613">
        <v>0</v>
      </c>
      <c r="H44" s="612"/>
      <c r="I44" s="612"/>
      <c r="J44" s="612"/>
      <c r="K44" s="612"/>
      <c r="L44" s="612"/>
      <c r="M44" s="613">
        <f>SUM(G44)</f>
        <v>0</v>
      </c>
    </row>
    <row r="45" spans="2:13" x14ac:dyDescent="0.2">
      <c r="B45" s="955" t="s">
        <v>379</v>
      </c>
      <c r="C45" s="956"/>
      <c r="D45" s="957"/>
      <c r="E45" s="613">
        <v>1969</v>
      </c>
      <c r="F45" s="613">
        <v>1969</v>
      </c>
      <c r="G45" s="613">
        <v>1969</v>
      </c>
      <c r="H45" s="612"/>
      <c r="I45" s="612"/>
      <c r="J45" s="612"/>
      <c r="K45" s="612"/>
      <c r="L45" s="612"/>
      <c r="M45" s="613">
        <f t="shared" ref="M45:M59" si="2">SUM(G45)</f>
        <v>1969</v>
      </c>
    </row>
    <row r="46" spans="2:13" x14ac:dyDescent="0.2">
      <c r="B46" s="955" t="s">
        <v>380</v>
      </c>
      <c r="C46" s="956"/>
      <c r="D46" s="957"/>
      <c r="E46" s="613">
        <v>7696</v>
      </c>
      <c r="F46" s="613">
        <v>0</v>
      </c>
      <c r="G46" s="613">
        <v>0</v>
      </c>
      <c r="H46" s="612"/>
      <c r="I46" s="612"/>
      <c r="J46" s="612"/>
      <c r="K46" s="612"/>
      <c r="L46" s="612"/>
      <c r="M46" s="613">
        <f t="shared" si="2"/>
        <v>0</v>
      </c>
    </row>
    <row r="47" spans="2:13" x14ac:dyDescent="0.2">
      <c r="B47" s="955" t="s">
        <v>381</v>
      </c>
      <c r="C47" s="956"/>
      <c r="D47" s="957"/>
      <c r="E47" s="613">
        <v>3353</v>
      </c>
      <c r="F47" s="613">
        <v>0</v>
      </c>
      <c r="G47" s="613">
        <v>0</v>
      </c>
      <c r="H47" s="612"/>
      <c r="I47" s="612"/>
      <c r="J47" s="612"/>
      <c r="K47" s="612"/>
      <c r="L47" s="612"/>
      <c r="M47" s="613">
        <f t="shared" si="2"/>
        <v>0</v>
      </c>
    </row>
    <row r="48" spans="2:13" ht="25.15" customHeight="1" x14ac:dyDescent="0.2">
      <c r="B48" s="955" t="s">
        <v>382</v>
      </c>
      <c r="C48" s="956"/>
      <c r="D48" s="957"/>
      <c r="E48" s="613">
        <v>5249</v>
      </c>
      <c r="F48" s="613">
        <v>3008</v>
      </c>
      <c r="G48" s="613">
        <v>3008</v>
      </c>
      <c r="H48" s="612"/>
      <c r="I48" s="612"/>
      <c r="J48" s="612"/>
      <c r="K48" s="612"/>
      <c r="L48" s="612"/>
      <c r="M48" s="613">
        <f t="shared" si="2"/>
        <v>3008</v>
      </c>
    </row>
    <row r="49" spans="2:13" x14ac:dyDescent="0.2">
      <c r="B49" s="955" t="s">
        <v>383</v>
      </c>
      <c r="C49" s="956"/>
      <c r="D49" s="957"/>
      <c r="E49" s="613">
        <v>481</v>
      </c>
      <c r="F49" s="613">
        <v>0</v>
      </c>
      <c r="G49" s="613">
        <v>0</v>
      </c>
      <c r="H49" s="612"/>
      <c r="I49" s="612"/>
      <c r="J49" s="612"/>
      <c r="K49" s="612"/>
      <c r="L49" s="612"/>
      <c r="M49" s="613">
        <f t="shared" si="2"/>
        <v>0</v>
      </c>
    </row>
    <row r="50" spans="2:13" x14ac:dyDescent="0.2">
      <c r="B50" s="955" t="s">
        <v>1680</v>
      </c>
      <c r="C50" s="956"/>
      <c r="D50" s="957"/>
      <c r="E50" s="612">
        <v>394</v>
      </c>
      <c r="F50" s="612">
        <v>394</v>
      </c>
      <c r="G50" s="612">
        <v>394</v>
      </c>
      <c r="H50" s="612"/>
      <c r="I50" s="612"/>
      <c r="J50" s="612"/>
      <c r="K50" s="612"/>
      <c r="L50" s="612"/>
      <c r="M50" s="613">
        <f t="shared" si="2"/>
        <v>394</v>
      </c>
    </row>
    <row r="51" spans="2:13" x14ac:dyDescent="0.2">
      <c r="B51" s="969" t="s">
        <v>578</v>
      </c>
      <c r="C51" s="970"/>
      <c r="D51" s="971"/>
      <c r="E51" s="612">
        <v>0</v>
      </c>
      <c r="F51" s="612">
        <v>330</v>
      </c>
      <c r="G51" s="612">
        <v>330</v>
      </c>
      <c r="H51" s="612"/>
      <c r="I51" s="612"/>
      <c r="J51" s="612"/>
      <c r="K51" s="612"/>
      <c r="L51" s="612"/>
      <c r="M51" s="613">
        <f t="shared" si="2"/>
        <v>330</v>
      </c>
    </row>
    <row r="52" spans="2:13" x14ac:dyDescent="0.2">
      <c r="B52" s="969" t="s">
        <v>1681</v>
      </c>
      <c r="C52" s="970"/>
      <c r="D52" s="971"/>
      <c r="E52" s="612"/>
      <c r="F52" s="612">
        <v>1956</v>
      </c>
      <c r="G52" s="613">
        <v>1956</v>
      </c>
      <c r="H52" s="612"/>
      <c r="I52" s="612"/>
      <c r="J52" s="612"/>
      <c r="K52" s="612"/>
      <c r="L52" s="612"/>
      <c r="M52" s="613">
        <f t="shared" si="2"/>
        <v>1956</v>
      </c>
    </row>
    <row r="53" spans="2:13" x14ac:dyDescent="0.2">
      <c r="B53" s="969" t="s">
        <v>1682</v>
      </c>
      <c r="C53" s="970"/>
      <c r="D53" s="971"/>
      <c r="E53" s="612"/>
      <c r="F53" s="612">
        <v>762</v>
      </c>
      <c r="G53" s="613">
        <v>762</v>
      </c>
      <c r="H53" s="612"/>
      <c r="I53" s="612"/>
      <c r="J53" s="612"/>
      <c r="K53" s="612"/>
      <c r="L53" s="612"/>
      <c r="M53" s="613">
        <f t="shared" si="2"/>
        <v>762</v>
      </c>
    </row>
    <row r="54" spans="2:13" x14ac:dyDescent="0.2">
      <c r="B54" s="964" t="s">
        <v>1683</v>
      </c>
      <c r="C54" s="964"/>
      <c r="D54" s="964"/>
      <c r="E54" s="612"/>
      <c r="F54" s="613">
        <v>80</v>
      </c>
      <c r="G54" s="613">
        <v>80</v>
      </c>
      <c r="H54" s="612"/>
      <c r="I54" s="612"/>
      <c r="J54" s="612"/>
      <c r="K54" s="612"/>
      <c r="L54" s="612"/>
      <c r="M54" s="613">
        <f t="shared" si="2"/>
        <v>80</v>
      </c>
    </row>
    <row r="55" spans="2:13" x14ac:dyDescent="0.2">
      <c r="B55" s="964" t="s">
        <v>1684</v>
      </c>
      <c r="C55" s="964"/>
      <c r="D55" s="964"/>
      <c r="E55" s="612"/>
      <c r="F55" s="613">
        <v>50</v>
      </c>
      <c r="G55" s="613">
        <v>50</v>
      </c>
      <c r="H55" s="612"/>
      <c r="I55" s="612"/>
      <c r="J55" s="612"/>
      <c r="K55" s="612"/>
      <c r="L55" s="612"/>
      <c r="M55" s="613">
        <f t="shared" si="2"/>
        <v>50</v>
      </c>
    </row>
    <row r="56" spans="2:13" x14ac:dyDescent="0.2">
      <c r="B56" s="964" t="s">
        <v>1685</v>
      </c>
      <c r="C56" s="964"/>
      <c r="D56" s="964"/>
      <c r="E56" s="612"/>
      <c r="F56" s="613">
        <v>60</v>
      </c>
      <c r="G56" s="613">
        <v>60</v>
      </c>
      <c r="H56" s="612"/>
      <c r="I56" s="612"/>
      <c r="J56" s="612"/>
      <c r="K56" s="612"/>
      <c r="L56" s="612"/>
      <c r="M56" s="613">
        <f t="shared" si="2"/>
        <v>60</v>
      </c>
    </row>
    <row r="57" spans="2:13" x14ac:dyDescent="0.2">
      <c r="B57" s="964" t="s">
        <v>1686</v>
      </c>
      <c r="C57" s="964"/>
      <c r="D57" s="964"/>
      <c r="E57" s="612"/>
      <c r="F57" s="613">
        <v>29</v>
      </c>
      <c r="G57" s="613">
        <v>29</v>
      </c>
      <c r="H57" s="612"/>
      <c r="I57" s="612"/>
      <c r="J57" s="612"/>
      <c r="K57" s="612"/>
      <c r="L57" s="612"/>
      <c r="M57" s="613">
        <f t="shared" si="2"/>
        <v>29</v>
      </c>
    </row>
    <row r="58" spans="2:13" x14ac:dyDescent="0.2">
      <c r="B58" s="964" t="s">
        <v>1687</v>
      </c>
      <c r="C58" s="964"/>
      <c r="D58" s="964"/>
      <c r="E58" s="612"/>
      <c r="F58" s="613">
        <v>232</v>
      </c>
      <c r="G58" s="613">
        <v>232</v>
      </c>
      <c r="H58" s="612"/>
      <c r="I58" s="612"/>
      <c r="J58" s="612"/>
      <c r="K58" s="612"/>
      <c r="L58" s="612"/>
      <c r="M58" s="613">
        <f t="shared" si="2"/>
        <v>232</v>
      </c>
    </row>
    <row r="59" spans="2:13" x14ac:dyDescent="0.2">
      <c r="B59" s="964" t="s">
        <v>1688</v>
      </c>
      <c r="C59" s="964"/>
      <c r="D59" s="964"/>
      <c r="E59" s="612"/>
      <c r="F59" s="613">
        <v>28</v>
      </c>
      <c r="G59" s="613">
        <v>28</v>
      </c>
      <c r="H59" s="612"/>
      <c r="I59" s="612"/>
      <c r="J59" s="612"/>
      <c r="K59" s="612"/>
      <c r="L59" s="612"/>
      <c r="M59" s="613">
        <f t="shared" si="2"/>
        <v>28</v>
      </c>
    </row>
    <row r="60" spans="2:13" x14ac:dyDescent="0.2">
      <c r="B60" s="958" t="s">
        <v>1335</v>
      </c>
      <c r="C60" s="959"/>
      <c r="D60" s="959"/>
      <c r="E60" s="617">
        <f>SUM(E44:E59)</f>
        <v>20149</v>
      </c>
      <c r="F60" s="617">
        <f t="shared" ref="F60:G60" si="3">SUM(F44:F59)</f>
        <v>8898</v>
      </c>
      <c r="G60" s="617">
        <f t="shared" si="3"/>
        <v>8898</v>
      </c>
      <c r="H60" s="617"/>
      <c r="I60" s="617"/>
      <c r="J60" s="617"/>
      <c r="K60" s="617"/>
      <c r="L60" s="617"/>
      <c r="M60" s="617">
        <f>SUM(M44:M59)</f>
        <v>8898</v>
      </c>
    </row>
    <row r="65" spans="1:14" x14ac:dyDescent="0.2">
      <c r="A65" s="965" t="s">
        <v>65</v>
      </c>
      <c r="B65" s="965"/>
      <c r="C65" s="965"/>
      <c r="D65" s="965"/>
      <c r="E65" s="965"/>
      <c r="F65" s="965"/>
      <c r="G65" s="965"/>
      <c r="H65" s="965"/>
      <c r="I65" s="965"/>
      <c r="J65" s="965"/>
      <c r="K65" s="965"/>
      <c r="L65" s="965"/>
      <c r="M65" s="965"/>
      <c r="N65" s="965"/>
    </row>
    <row r="68" spans="1:14" x14ac:dyDescent="0.2">
      <c r="M68" s="966" t="s">
        <v>1852</v>
      </c>
      <c r="N68" s="966"/>
    </row>
    <row r="70" spans="1:14" x14ac:dyDescent="0.2">
      <c r="B70" s="609" t="s">
        <v>55</v>
      </c>
      <c r="C70" s="609"/>
      <c r="D70" s="967" t="s">
        <v>384</v>
      </c>
      <c r="E70" s="967"/>
      <c r="F70" s="967"/>
      <c r="G70" s="967"/>
      <c r="H70" s="967"/>
      <c r="I70" s="967"/>
      <c r="J70" s="967"/>
      <c r="K70" s="967"/>
      <c r="L70" s="967"/>
      <c r="M70" s="967"/>
    </row>
    <row r="71" spans="1:14" x14ac:dyDescent="0.2">
      <c r="B71" s="967" t="s">
        <v>56</v>
      </c>
      <c r="C71" s="967"/>
      <c r="D71" s="967" t="s">
        <v>385</v>
      </c>
      <c r="E71" s="967"/>
      <c r="F71" s="967"/>
      <c r="G71" s="967"/>
      <c r="H71" s="967"/>
      <c r="I71" s="967"/>
      <c r="J71" s="967"/>
      <c r="K71" s="967"/>
      <c r="L71" s="967"/>
      <c r="M71" s="967"/>
    </row>
    <row r="72" spans="1:14" x14ac:dyDescent="0.2">
      <c r="B72" s="608"/>
      <c r="C72" s="608"/>
      <c r="D72" s="608"/>
      <c r="E72" s="608"/>
      <c r="F72" s="608"/>
      <c r="G72" s="608"/>
      <c r="H72" s="608"/>
      <c r="I72" s="608"/>
      <c r="J72" s="608"/>
      <c r="K72" s="608"/>
      <c r="M72" s="546" t="s">
        <v>130</v>
      </c>
    </row>
    <row r="73" spans="1:14" ht="33.75" x14ac:dyDescent="0.2">
      <c r="B73" s="961" t="s">
        <v>57</v>
      </c>
      <c r="C73" s="962"/>
      <c r="D73" s="963"/>
      <c r="E73" s="610">
        <v>2014</v>
      </c>
      <c r="F73" s="56" t="s">
        <v>1309</v>
      </c>
      <c r="G73" s="56" t="s">
        <v>1312</v>
      </c>
      <c r="H73" s="610">
        <v>2015</v>
      </c>
      <c r="I73" s="610">
        <v>2016</v>
      </c>
      <c r="J73" s="610">
        <v>2017</v>
      </c>
      <c r="K73" s="610">
        <v>2018</v>
      </c>
      <c r="L73" s="611">
        <v>2019</v>
      </c>
      <c r="M73" s="610" t="s">
        <v>42</v>
      </c>
    </row>
    <row r="74" spans="1:14" x14ac:dyDescent="0.2">
      <c r="B74" s="959" t="s">
        <v>58</v>
      </c>
      <c r="C74" s="959"/>
      <c r="D74" s="959"/>
      <c r="E74" s="612"/>
      <c r="F74" s="612"/>
      <c r="G74" s="612"/>
      <c r="H74" s="612"/>
      <c r="I74" s="612"/>
      <c r="J74" s="612"/>
      <c r="K74" s="612"/>
      <c r="L74" s="612"/>
      <c r="M74" s="612"/>
    </row>
    <row r="75" spans="1:14" x14ac:dyDescent="0.2">
      <c r="B75" s="968" t="s">
        <v>59</v>
      </c>
      <c r="C75" s="959"/>
      <c r="D75" s="959"/>
      <c r="E75" s="612"/>
      <c r="F75" s="612"/>
      <c r="G75" s="612"/>
      <c r="H75" s="612"/>
      <c r="I75" s="612"/>
      <c r="J75" s="610"/>
      <c r="K75" s="612"/>
      <c r="L75" s="612"/>
      <c r="M75" s="612"/>
    </row>
    <row r="76" spans="1:14" x14ac:dyDescent="0.2">
      <c r="B76" s="959" t="s">
        <v>377</v>
      </c>
      <c r="C76" s="959"/>
      <c r="D76" s="959"/>
      <c r="E76" s="613">
        <v>9949</v>
      </c>
      <c r="F76" s="613">
        <v>0</v>
      </c>
      <c r="G76" s="613">
        <v>0</v>
      </c>
      <c r="H76" s="612"/>
      <c r="I76" s="612"/>
      <c r="J76" s="612"/>
      <c r="K76" s="612"/>
      <c r="L76" s="612"/>
      <c r="M76" s="613">
        <f>+G76</f>
        <v>0</v>
      </c>
    </row>
    <row r="77" spans="1:14" x14ac:dyDescent="0.2">
      <c r="B77" s="960" t="s">
        <v>60</v>
      </c>
      <c r="C77" s="960"/>
      <c r="D77" s="960"/>
      <c r="E77" s="612"/>
      <c r="F77" s="612"/>
      <c r="G77" s="612"/>
      <c r="H77" s="612"/>
      <c r="I77" s="612"/>
      <c r="J77" s="612"/>
      <c r="K77" s="612"/>
      <c r="L77" s="612"/>
      <c r="M77" s="613"/>
    </row>
    <row r="78" spans="1:14" x14ac:dyDescent="0.2">
      <c r="B78" s="960" t="s">
        <v>19</v>
      </c>
      <c r="C78" s="960"/>
      <c r="D78" s="960"/>
      <c r="E78" s="612"/>
      <c r="F78" s="612"/>
      <c r="G78" s="612"/>
      <c r="H78" s="612"/>
      <c r="I78" s="612"/>
      <c r="J78" s="610"/>
      <c r="K78" s="612"/>
      <c r="L78" s="612"/>
      <c r="M78" s="613"/>
    </row>
    <row r="79" spans="1:14" x14ac:dyDescent="0.2">
      <c r="B79" s="960" t="s">
        <v>61</v>
      </c>
      <c r="C79" s="960"/>
      <c r="D79" s="960"/>
      <c r="E79" s="612"/>
      <c r="F79" s="612"/>
      <c r="G79" s="612"/>
      <c r="H79" s="612"/>
      <c r="I79" s="612"/>
      <c r="J79" s="612"/>
      <c r="K79" s="612"/>
      <c r="L79" s="612"/>
      <c r="M79" s="613"/>
    </row>
    <row r="80" spans="1:14" x14ac:dyDescent="0.2">
      <c r="B80" s="959"/>
      <c r="C80" s="959"/>
      <c r="D80" s="959"/>
      <c r="E80" s="613"/>
      <c r="F80" s="613"/>
      <c r="G80" s="613"/>
      <c r="H80" s="612"/>
      <c r="I80" s="612"/>
      <c r="J80" s="612"/>
      <c r="K80" s="612"/>
      <c r="L80" s="612"/>
      <c r="M80" s="613"/>
    </row>
    <row r="81" spans="2:13" x14ac:dyDescent="0.2">
      <c r="B81" s="616" t="s">
        <v>62</v>
      </c>
      <c r="C81" s="612"/>
      <c r="D81" s="612"/>
      <c r="E81" s="617">
        <f>SUM(E74:E80)</f>
        <v>9949</v>
      </c>
      <c r="F81" s="617">
        <f>SUM(F74:F80)</f>
        <v>0</v>
      </c>
      <c r="G81" s="617">
        <f>SUM(G74:G80)</f>
        <v>0</v>
      </c>
      <c r="H81" s="616"/>
      <c r="I81" s="616"/>
      <c r="J81" s="616"/>
      <c r="K81" s="616"/>
      <c r="L81" s="616"/>
      <c r="M81" s="617">
        <f>+G81</f>
        <v>0</v>
      </c>
    </row>
    <row r="82" spans="2:13" x14ac:dyDescent="0.2">
      <c r="B82" s="608"/>
      <c r="C82" s="608"/>
      <c r="D82" s="608"/>
      <c r="E82" s="608"/>
      <c r="F82" s="608"/>
      <c r="G82" s="608"/>
      <c r="H82" s="608"/>
      <c r="I82" s="608"/>
      <c r="J82" s="608"/>
      <c r="K82" s="608"/>
      <c r="L82" s="608"/>
      <c r="M82" s="608"/>
    </row>
    <row r="83" spans="2:13" x14ac:dyDescent="0.2">
      <c r="B83" s="608"/>
      <c r="C83" s="608"/>
      <c r="D83" s="608"/>
      <c r="E83" s="608"/>
      <c r="F83" s="608"/>
      <c r="G83" s="608"/>
      <c r="H83" s="608"/>
      <c r="I83" s="608"/>
      <c r="J83" s="608"/>
      <c r="K83" s="608"/>
      <c r="L83" s="608"/>
      <c r="M83" s="608"/>
    </row>
    <row r="84" spans="2:13" ht="33.75" x14ac:dyDescent="0.2">
      <c r="B84" s="961" t="s">
        <v>63</v>
      </c>
      <c r="C84" s="962"/>
      <c r="D84" s="963"/>
      <c r="E84" s="610">
        <v>2014</v>
      </c>
      <c r="F84" s="56" t="s">
        <v>1309</v>
      </c>
      <c r="G84" s="56" t="s">
        <v>1312</v>
      </c>
      <c r="H84" s="610">
        <v>2015</v>
      </c>
      <c r="I84" s="610">
        <v>2016</v>
      </c>
      <c r="J84" s="610">
        <v>2017</v>
      </c>
      <c r="K84" s="610">
        <v>2018</v>
      </c>
      <c r="L84" s="610">
        <v>2019</v>
      </c>
      <c r="M84" s="610" t="s">
        <v>42</v>
      </c>
    </row>
    <row r="85" spans="2:13" x14ac:dyDescent="0.2">
      <c r="B85" s="955" t="s">
        <v>386</v>
      </c>
      <c r="C85" s="956"/>
      <c r="D85" s="957"/>
      <c r="E85" s="613">
        <v>826</v>
      </c>
      <c r="F85" s="613">
        <v>0</v>
      </c>
      <c r="G85" s="613">
        <v>0</v>
      </c>
      <c r="H85" s="612"/>
      <c r="I85" s="612"/>
      <c r="J85" s="612"/>
      <c r="K85" s="612"/>
      <c r="L85" s="612"/>
      <c r="M85" s="613">
        <f>+G85</f>
        <v>0</v>
      </c>
    </row>
    <row r="86" spans="2:13" x14ac:dyDescent="0.2">
      <c r="B86" s="955" t="s">
        <v>387</v>
      </c>
      <c r="C86" s="956"/>
      <c r="D86" s="957"/>
      <c r="E86" s="613">
        <v>5466</v>
      </c>
      <c r="F86" s="613">
        <v>0</v>
      </c>
      <c r="G86" s="613">
        <v>0</v>
      </c>
      <c r="H86" s="612"/>
      <c r="I86" s="612"/>
      <c r="J86" s="612"/>
      <c r="K86" s="612"/>
      <c r="L86" s="612"/>
      <c r="M86" s="613">
        <f t="shared" ref="M86:M90" si="4">+G86</f>
        <v>0</v>
      </c>
    </row>
    <row r="87" spans="2:13" x14ac:dyDescent="0.2">
      <c r="B87" s="955" t="s">
        <v>388</v>
      </c>
      <c r="C87" s="956"/>
      <c r="D87" s="957"/>
      <c r="E87" s="613">
        <v>44</v>
      </c>
      <c r="F87" s="613">
        <v>0</v>
      </c>
      <c r="G87" s="613">
        <v>0</v>
      </c>
      <c r="H87" s="612"/>
      <c r="I87" s="612"/>
      <c r="J87" s="612"/>
      <c r="K87" s="612"/>
      <c r="L87" s="612"/>
      <c r="M87" s="613">
        <f t="shared" si="4"/>
        <v>0</v>
      </c>
    </row>
    <row r="88" spans="2:13" ht="41.25" customHeight="1" x14ac:dyDescent="0.2">
      <c r="B88" s="955" t="s">
        <v>389</v>
      </c>
      <c r="C88" s="956"/>
      <c r="D88" s="957"/>
      <c r="E88" s="613">
        <v>3613</v>
      </c>
      <c r="F88" s="613">
        <v>0</v>
      </c>
      <c r="G88" s="613">
        <v>0</v>
      </c>
      <c r="H88" s="612"/>
      <c r="I88" s="612"/>
      <c r="J88" s="612"/>
      <c r="K88" s="612"/>
      <c r="L88" s="612"/>
      <c r="M88" s="613">
        <f t="shared" si="4"/>
        <v>0</v>
      </c>
    </row>
    <row r="89" spans="2:13" x14ac:dyDescent="0.2">
      <c r="B89" s="955"/>
      <c r="C89" s="956"/>
      <c r="D89" s="957"/>
      <c r="E89" s="613"/>
      <c r="F89" s="613"/>
      <c r="G89" s="613"/>
      <c r="H89" s="612"/>
      <c r="I89" s="612"/>
      <c r="J89" s="612"/>
      <c r="K89" s="612"/>
      <c r="L89" s="612"/>
      <c r="M89" s="613">
        <f t="shared" si="4"/>
        <v>0</v>
      </c>
    </row>
    <row r="90" spans="2:13" x14ac:dyDescent="0.2">
      <c r="B90" s="955"/>
      <c r="C90" s="956"/>
      <c r="D90" s="957"/>
      <c r="E90" s="612"/>
      <c r="F90" s="612"/>
      <c r="G90" s="612"/>
      <c r="H90" s="612"/>
      <c r="I90" s="612"/>
      <c r="J90" s="612"/>
      <c r="K90" s="612"/>
      <c r="L90" s="612"/>
      <c r="M90" s="613">
        <f t="shared" si="4"/>
        <v>0</v>
      </c>
    </row>
    <row r="91" spans="2:13" x14ac:dyDescent="0.2">
      <c r="B91" s="958" t="s">
        <v>64</v>
      </c>
      <c r="C91" s="959"/>
      <c r="D91" s="959"/>
      <c r="E91" s="617">
        <f>SUM(E85:E90)</f>
        <v>9949</v>
      </c>
      <c r="F91" s="617">
        <f>SUM(F85:F90)</f>
        <v>0</v>
      </c>
      <c r="G91" s="617">
        <f>SUM(G85:G90)</f>
        <v>0</v>
      </c>
      <c r="H91" s="616"/>
      <c r="I91" s="616"/>
      <c r="J91" s="616"/>
      <c r="K91" s="616"/>
      <c r="L91" s="620"/>
      <c r="M91" s="617">
        <f>SUM(M85:M90)</f>
        <v>0</v>
      </c>
    </row>
    <row r="94" spans="2:13" x14ac:dyDescent="0.2">
      <c r="F94" s="621"/>
    </row>
  </sheetData>
  <mergeCells count="71">
    <mergeCell ref="B13:D13"/>
    <mergeCell ref="L1:M1"/>
    <mergeCell ref="A3:N3"/>
    <mergeCell ref="D5:M5"/>
    <mergeCell ref="B6:C6"/>
    <mergeCell ref="D6:M6"/>
    <mergeCell ref="B8:D8"/>
    <mergeCell ref="B9:D9"/>
    <mergeCell ref="B10:D10"/>
    <mergeCell ref="B11:D11"/>
    <mergeCell ref="B12:D12"/>
    <mergeCell ref="B30:C30"/>
    <mergeCell ref="D30:M30"/>
    <mergeCell ref="B14:D14"/>
    <mergeCell ref="B15:D15"/>
    <mergeCell ref="B19:D19"/>
    <mergeCell ref="B20:D20"/>
    <mergeCell ref="B21:D21"/>
    <mergeCell ref="B22:D22"/>
    <mergeCell ref="B23:D23"/>
    <mergeCell ref="B24:D24"/>
    <mergeCell ref="B25:D25"/>
    <mergeCell ref="M27:N27"/>
    <mergeCell ref="D29:M29"/>
    <mergeCell ref="B46:D46"/>
    <mergeCell ref="B32:D32"/>
    <mergeCell ref="B33:D33"/>
    <mergeCell ref="B34:D34"/>
    <mergeCell ref="B35:D35"/>
    <mergeCell ref="B36:D36"/>
    <mergeCell ref="B37:D37"/>
    <mergeCell ref="B38:D38"/>
    <mergeCell ref="B39:D39"/>
    <mergeCell ref="B43:D43"/>
    <mergeCell ref="B44:D44"/>
    <mergeCell ref="B45:D45"/>
    <mergeCell ref="B58:D58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78:D78"/>
    <mergeCell ref="B59:D59"/>
    <mergeCell ref="B60:D60"/>
    <mergeCell ref="A65:N65"/>
    <mergeCell ref="M68:N68"/>
    <mergeCell ref="D70:M70"/>
    <mergeCell ref="B71:C71"/>
    <mergeCell ref="D71:M71"/>
    <mergeCell ref="B73:D73"/>
    <mergeCell ref="B74:D74"/>
    <mergeCell ref="B75:D75"/>
    <mergeCell ref="B76:D76"/>
    <mergeCell ref="B77:D77"/>
    <mergeCell ref="B88:D88"/>
    <mergeCell ref="B89:D89"/>
    <mergeCell ref="B90:D90"/>
    <mergeCell ref="B91:D91"/>
    <mergeCell ref="B79:D79"/>
    <mergeCell ref="B80:D80"/>
    <mergeCell ref="B84:D84"/>
    <mergeCell ref="B85:D85"/>
    <mergeCell ref="B86:D86"/>
    <mergeCell ref="B87:D87"/>
  </mergeCells>
  <printOptions horizontalCentered="1"/>
  <pageMargins left="0.43307086614173229" right="0.15748031496062992" top="0.35433070866141736" bottom="0" header="0.27559055118110237" footer="0"/>
  <pageSetup paperSize="9" scale="70" orientation="landscape" r:id="rId1"/>
  <headerFooter alignWithMargins="0">
    <oddHeader>&amp;LVeresegyház Város Önkormányzat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J28" sqref="J28"/>
    </sheetView>
  </sheetViews>
  <sheetFormatPr defaultColWidth="10.140625" defaultRowHeight="11.25" x14ac:dyDescent="0.2"/>
  <cols>
    <col min="1" max="1" width="10.140625" style="151"/>
    <col min="2" max="2" width="14.7109375" style="143" customWidth="1"/>
    <col min="3" max="3" width="10.140625" style="152"/>
    <col min="4" max="4" width="24.7109375" style="143" customWidth="1"/>
    <col min="5" max="5" width="16.5703125" style="153" customWidth="1"/>
    <col min="6" max="7" width="10.140625" style="143"/>
    <col min="8" max="8" width="9.140625" style="152" customWidth="1"/>
    <col min="9" max="11" width="10.140625" style="152"/>
    <col min="12" max="12" width="9.42578125" style="143" customWidth="1"/>
    <col min="13" max="13" width="18.140625" style="143" customWidth="1"/>
    <col min="14" max="16384" width="10.140625" style="143"/>
  </cols>
  <sheetData>
    <row r="1" spans="1:13" s="141" customFormat="1" ht="45" x14ac:dyDescent="0.2">
      <c r="A1" s="140" t="s">
        <v>519</v>
      </c>
      <c r="B1" s="70" t="s">
        <v>520</v>
      </c>
      <c r="C1" s="71" t="s">
        <v>521</v>
      </c>
      <c r="D1" s="973" t="s">
        <v>522</v>
      </c>
      <c r="E1" s="974"/>
      <c r="F1" s="122" t="s">
        <v>441</v>
      </c>
      <c r="G1" s="122" t="s">
        <v>442</v>
      </c>
      <c r="H1" s="71" t="s">
        <v>1117</v>
      </c>
      <c r="I1" s="71" t="s">
        <v>523</v>
      </c>
      <c r="J1" s="71" t="s">
        <v>1119</v>
      </c>
      <c r="K1" s="605" t="s">
        <v>1855</v>
      </c>
      <c r="L1" s="72" t="s">
        <v>1338</v>
      </c>
      <c r="M1" s="121"/>
    </row>
    <row r="2" spans="1:13" ht="18.75" customHeight="1" x14ac:dyDescent="0.2">
      <c r="A2" s="142" t="s">
        <v>524</v>
      </c>
      <c r="B2" s="73" t="s">
        <v>1118</v>
      </c>
      <c r="C2" s="74">
        <v>113797075</v>
      </c>
      <c r="D2" s="75" t="s">
        <v>525</v>
      </c>
      <c r="E2" s="123"/>
      <c r="F2" s="76">
        <v>40908</v>
      </c>
      <c r="G2" s="81"/>
      <c r="H2" s="74"/>
      <c r="I2" s="77">
        <v>113797075</v>
      </c>
      <c r="J2" s="77">
        <v>-113797075</v>
      </c>
      <c r="K2" s="77">
        <f>SUM(I2:J2)</f>
        <v>0</v>
      </c>
      <c r="L2" s="154" t="s">
        <v>1336</v>
      </c>
      <c r="M2" s="124" t="s">
        <v>1339</v>
      </c>
    </row>
    <row r="3" spans="1:13" ht="18.75" customHeight="1" x14ac:dyDescent="0.2">
      <c r="A3" s="144" t="s">
        <v>526</v>
      </c>
      <c r="B3" s="78" t="s">
        <v>527</v>
      </c>
      <c r="C3" s="79">
        <v>153894</v>
      </c>
      <c r="D3" s="125" t="s">
        <v>528</v>
      </c>
      <c r="E3" s="126" t="s">
        <v>529</v>
      </c>
      <c r="F3" s="80"/>
      <c r="G3" s="81"/>
      <c r="H3" s="79">
        <v>15000</v>
      </c>
      <c r="I3" s="77">
        <f t="shared" ref="I3:I12" si="0">SUM(C3-H3)</f>
        <v>138894</v>
      </c>
      <c r="J3" s="77"/>
      <c r="K3" s="77">
        <f t="shared" ref="K3:K12" si="1">SUM(I3:J3)</f>
        <v>138894</v>
      </c>
      <c r="L3" s="154" t="s">
        <v>1336</v>
      </c>
      <c r="M3" s="124" t="s">
        <v>530</v>
      </c>
    </row>
    <row r="4" spans="1:13" ht="18.75" customHeight="1" x14ac:dyDescent="0.2">
      <c r="A4" s="144">
        <v>39597</v>
      </c>
      <c r="B4" s="145" t="s">
        <v>531</v>
      </c>
      <c r="C4" s="79">
        <v>69895</v>
      </c>
      <c r="D4" s="125" t="s">
        <v>528</v>
      </c>
      <c r="E4" s="127" t="s">
        <v>529</v>
      </c>
      <c r="F4" s="80"/>
      <c r="G4" s="80"/>
      <c r="H4" s="79">
        <v>3000</v>
      </c>
      <c r="I4" s="77">
        <f t="shared" si="0"/>
        <v>66895</v>
      </c>
      <c r="J4" s="77"/>
      <c r="K4" s="77">
        <f t="shared" si="1"/>
        <v>66895</v>
      </c>
      <c r="L4" s="154" t="s">
        <v>1336</v>
      </c>
      <c r="M4" s="124" t="s">
        <v>530</v>
      </c>
    </row>
    <row r="5" spans="1:13" ht="18.75" customHeight="1" x14ac:dyDescent="0.2">
      <c r="A5" s="144">
        <v>39100</v>
      </c>
      <c r="B5" s="145" t="s">
        <v>532</v>
      </c>
      <c r="C5" s="79">
        <v>151317</v>
      </c>
      <c r="D5" s="125" t="s">
        <v>533</v>
      </c>
      <c r="E5" s="128"/>
      <c r="F5" s="81"/>
      <c r="G5" s="80"/>
      <c r="H5" s="79"/>
      <c r="I5" s="77">
        <f t="shared" si="0"/>
        <v>151317</v>
      </c>
      <c r="J5" s="77"/>
      <c r="K5" s="77">
        <f t="shared" si="1"/>
        <v>151317</v>
      </c>
      <c r="L5" s="154" t="s">
        <v>1336</v>
      </c>
      <c r="M5" s="124" t="s">
        <v>530</v>
      </c>
    </row>
    <row r="6" spans="1:13" ht="21" customHeight="1" x14ac:dyDescent="0.2">
      <c r="A6" s="144" t="s">
        <v>534</v>
      </c>
      <c r="B6" s="145" t="s">
        <v>535</v>
      </c>
      <c r="C6" s="79">
        <v>9500000</v>
      </c>
      <c r="D6" s="125" t="s">
        <v>533</v>
      </c>
      <c r="E6" s="129"/>
      <c r="F6" s="80"/>
      <c r="G6" s="130">
        <v>41724</v>
      </c>
      <c r="H6" s="79">
        <v>500000</v>
      </c>
      <c r="I6" s="77">
        <f t="shared" si="0"/>
        <v>9000000</v>
      </c>
      <c r="J6" s="77"/>
      <c r="K6" s="77">
        <f t="shared" si="1"/>
        <v>9000000</v>
      </c>
      <c r="L6" s="154" t="s">
        <v>1336</v>
      </c>
      <c r="M6" s="124" t="s">
        <v>536</v>
      </c>
    </row>
    <row r="7" spans="1:13" ht="18.75" customHeight="1" x14ac:dyDescent="0.2">
      <c r="A7" s="144">
        <v>37232</v>
      </c>
      <c r="B7" s="145" t="s">
        <v>537</v>
      </c>
      <c r="C7" s="79">
        <v>8692183</v>
      </c>
      <c r="D7" s="125" t="s">
        <v>533</v>
      </c>
      <c r="E7" s="128"/>
      <c r="F7" s="80"/>
      <c r="G7" s="81"/>
      <c r="H7" s="79"/>
      <c r="I7" s="77">
        <v>8692183</v>
      </c>
      <c r="J7" s="77">
        <v>-8692183</v>
      </c>
      <c r="K7" s="77">
        <f t="shared" si="1"/>
        <v>0</v>
      </c>
      <c r="L7" s="154" t="s">
        <v>1336</v>
      </c>
      <c r="M7" s="124" t="s">
        <v>1340</v>
      </c>
    </row>
    <row r="8" spans="1:13" s="147" customFormat="1" ht="18.75" customHeight="1" x14ac:dyDescent="0.2">
      <c r="A8" s="144">
        <v>40268</v>
      </c>
      <c r="B8" s="146" t="s">
        <v>538</v>
      </c>
      <c r="C8" s="79">
        <v>38240</v>
      </c>
      <c r="D8" s="131" t="s">
        <v>528</v>
      </c>
      <c r="E8" s="128" t="s">
        <v>539</v>
      </c>
      <c r="F8" s="82"/>
      <c r="G8" s="82"/>
      <c r="H8" s="79"/>
      <c r="I8" s="77">
        <f t="shared" si="0"/>
        <v>38240</v>
      </c>
      <c r="J8" s="77"/>
      <c r="K8" s="77">
        <f t="shared" si="1"/>
        <v>38240</v>
      </c>
      <c r="L8" s="154" t="s">
        <v>1336</v>
      </c>
      <c r="M8" s="124" t="s">
        <v>530</v>
      </c>
    </row>
    <row r="9" spans="1:13" ht="18.75" customHeight="1" x14ac:dyDescent="0.2">
      <c r="A9" s="144">
        <v>40366</v>
      </c>
      <c r="B9" s="145" t="s">
        <v>541</v>
      </c>
      <c r="C9" s="79">
        <v>15906849</v>
      </c>
      <c r="D9" s="125" t="s">
        <v>1344</v>
      </c>
      <c r="E9" s="128" t="s">
        <v>542</v>
      </c>
      <c r="F9" s="80">
        <v>40694</v>
      </c>
      <c r="G9" s="81"/>
      <c r="H9" s="79"/>
      <c r="I9" s="77">
        <f t="shared" si="0"/>
        <v>15906849</v>
      </c>
      <c r="J9" s="77"/>
      <c r="K9" s="77">
        <f t="shared" si="1"/>
        <v>15906849</v>
      </c>
      <c r="L9" s="154" t="s">
        <v>1336</v>
      </c>
      <c r="M9" s="124" t="s">
        <v>1340</v>
      </c>
    </row>
    <row r="10" spans="1:13" ht="24" customHeight="1" x14ac:dyDescent="0.2">
      <c r="A10" s="144">
        <v>40402</v>
      </c>
      <c r="B10" s="145" t="s">
        <v>543</v>
      </c>
      <c r="C10" s="79">
        <v>2274700</v>
      </c>
      <c r="D10" s="132" t="s">
        <v>544</v>
      </c>
      <c r="E10" s="128" t="s">
        <v>545</v>
      </c>
      <c r="F10" s="155" t="s">
        <v>546</v>
      </c>
      <c r="G10" s="80"/>
      <c r="H10" s="79"/>
      <c r="I10" s="77">
        <f t="shared" si="0"/>
        <v>2274700</v>
      </c>
      <c r="J10" s="77"/>
      <c r="K10" s="77">
        <f t="shared" si="1"/>
        <v>2274700</v>
      </c>
      <c r="L10" s="154" t="s">
        <v>1337</v>
      </c>
      <c r="M10" s="124" t="s">
        <v>547</v>
      </c>
    </row>
    <row r="11" spans="1:13" ht="18.75" customHeight="1" x14ac:dyDescent="0.2">
      <c r="A11" s="144">
        <v>41101</v>
      </c>
      <c r="B11" s="148" t="s">
        <v>548</v>
      </c>
      <c r="C11" s="77">
        <v>5510000</v>
      </c>
      <c r="D11" s="133" t="s">
        <v>540</v>
      </c>
      <c r="E11" s="134"/>
      <c r="F11" s="83">
        <v>41983</v>
      </c>
      <c r="G11" s="130"/>
      <c r="H11" s="77">
        <v>720000</v>
      </c>
      <c r="I11" s="77">
        <f t="shared" si="0"/>
        <v>4790000</v>
      </c>
      <c r="J11" s="77"/>
      <c r="K11" s="77">
        <f t="shared" si="1"/>
        <v>4790000</v>
      </c>
      <c r="L11" s="154" t="s">
        <v>1336</v>
      </c>
      <c r="M11" s="84" t="s">
        <v>530</v>
      </c>
    </row>
    <row r="12" spans="1:13" ht="18" customHeight="1" x14ac:dyDescent="0.2">
      <c r="A12" s="144">
        <v>41251</v>
      </c>
      <c r="B12" s="148" t="s">
        <v>549</v>
      </c>
      <c r="C12" s="77">
        <v>19177000</v>
      </c>
      <c r="D12" s="133" t="s">
        <v>550</v>
      </c>
      <c r="E12" s="134"/>
      <c r="F12" s="83"/>
      <c r="G12" s="83"/>
      <c r="H12" s="85"/>
      <c r="I12" s="77">
        <f t="shared" si="0"/>
        <v>19177000</v>
      </c>
      <c r="J12" s="77">
        <v>-19177000</v>
      </c>
      <c r="K12" s="77">
        <f t="shared" si="1"/>
        <v>0</v>
      </c>
      <c r="L12" s="154" t="s">
        <v>1336</v>
      </c>
      <c r="M12" s="124" t="s">
        <v>1340</v>
      </c>
    </row>
    <row r="13" spans="1:13" s="147" customFormat="1" ht="18.75" customHeight="1" x14ac:dyDescent="0.2">
      <c r="A13" s="975" t="s">
        <v>1120</v>
      </c>
      <c r="B13" s="976"/>
      <c r="C13" s="86">
        <f>SUM(C2:C12)</f>
        <v>175271153</v>
      </c>
      <c r="D13" s="135"/>
      <c r="E13" s="136"/>
      <c r="F13" s="87"/>
      <c r="G13" s="88"/>
      <c r="H13" s="89">
        <f>SUM(H2:H12)</f>
        <v>1238000</v>
      </c>
      <c r="I13" s="89">
        <f>SUM(I2:I12)</f>
        <v>174033153</v>
      </c>
      <c r="J13" s="86">
        <f>SUM(J2:J12)</f>
        <v>-141666258</v>
      </c>
      <c r="K13" s="606">
        <f>SUM(K2:K12)</f>
        <v>32366895</v>
      </c>
      <c r="L13" s="979" t="s">
        <v>1854</v>
      </c>
      <c r="M13" s="980"/>
    </row>
    <row r="14" spans="1:13" ht="18.75" customHeight="1" x14ac:dyDescent="0.2">
      <c r="A14" s="149">
        <v>41747</v>
      </c>
      <c r="B14" s="150" t="s">
        <v>1118</v>
      </c>
      <c r="C14" s="90">
        <v>10000000</v>
      </c>
      <c r="D14" s="137" t="s">
        <v>1341</v>
      </c>
      <c r="E14" s="138"/>
      <c r="F14" s="91"/>
      <c r="G14" s="91">
        <v>41767</v>
      </c>
      <c r="H14" s="92">
        <v>5000000</v>
      </c>
      <c r="I14" s="90">
        <f>+C14-H14</f>
        <v>5000000</v>
      </c>
      <c r="J14" s="90"/>
      <c r="K14" s="77">
        <f t="shared" ref="K14:K15" si="2">SUM(I14:J14)</f>
        <v>5000000</v>
      </c>
      <c r="L14" s="93" t="s">
        <v>1343</v>
      </c>
      <c r="M14" s="139" t="s">
        <v>1339</v>
      </c>
    </row>
    <row r="15" spans="1:13" ht="18.75" customHeight="1" x14ac:dyDescent="0.2">
      <c r="A15" s="149">
        <v>41893</v>
      </c>
      <c r="B15" s="150" t="s">
        <v>1118</v>
      </c>
      <c r="C15" s="90">
        <v>10000000</v>
      </c>
      <c r="D15" s="137" t="s">
        <v>1341</v>
      </c>
      <c r="E15" s="138"/>
      <c r="F15" s="91"/>
      <c r="G15" s="91"/>
      <c r="H15" s="92"/>
      <c r="I15" s="90">
        <v>10000000</v>
      </c>
      <c r="J15" s="90"/>
      <c r="K15" s="77">
        <f t="shared" si="2"/>
        <v>10000000</v>
      </c>
      <c r="L15" s="93" t="s">
        <v>1343</v>
      </c>
      <c r="M15" s="139" t="s">
        <v>1339</v>
      </c>
    </row>
    <row r="16" spans="1:13" ht="18.75" customHeight="1" x14ac:dyDescent="0.2">
      <c r="A16" s="977" t="s">
        <v>1342</v>
      </c>
      <c r="B16" s="978"/>
      <c r="C16" s="94">
        <f>SUM(C13+C14+C15)</f>
        <v>195271153</v>
      </c>
      <c r="D16" s="94"/>
      <c r="E16" s="94"/>
      <c r="F16" s="94"/>
      <c r="G16" s="94"/>
      <c r="H16" s="94">
        <f t="shared" ref="H16:J16" si="3">SUM(H13+H14+H15)</f>
        <v>6238000</v>
      </c>
      <c r="I16" s="94">
        <f t="shared" si="3"/>
        <v>189033153</v>
      </c>
      <c r="J16" s="94">
        <f t="shared" si="3"/>
        <v>-141666258</v>
      </c>
      <c r="K16" s="607">
        <f>SUM(K14:K15)</f>
        <v>15000000</v>
      </c>
      <c r="L16" s="95"/>
      <c r="M16" s="96"/>
    </row>
  </sheetData>
  <mergeCells count="4">
    <mergeCell ref="D1:E1"/>
    <mergeCell ref="A13:B13"/>
    <mergeCell ref="A16:B16"/>
    <mergeCell ref="L13:M13"/>
  </mergeCells>
  <printOptions horizontalCentered="1"/>
  <pageMargins left="0" right="0" top="0.74803149606299213" bottom="0.74803149606299213" header="0.15748031496062992" footer="0.31496062992125984"/>
  <pageSetup paperSize="9" scale="90" orientation="landscape" verticalDpi="200" r:id="rId1"/>
  <headerFooter>
    <oddHeader>&amp;LVeresegyház Város Önkormányzat&amp;C&amp;"-,Félkövér"ADOTT KÖLCSÖNÖK&amp;"-,Normál"&amp;9 2014.12.31.&amp;R&amp;8 29. melléklet
adatok Forintban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8" workbookViewId="0">
      <selection activeCell="E68" sqref="E68"/>
    </sheetView>
  </sheetViews>
  <sheetFormatPr defaultRowHeight="12.75" x14ac:dyDescent="0.2"/>
  <cols>
    <col min="1" max="1" width="48" style="105" customWidth="1"/>
    <col min="2" max="2" width="13.140625" style="105" customWidth="1"/>
    <col min="3" max="3" width="11.7109375" style="105" customWidth="1"/>
    <col min="4" max="4" width="11.28515625" style="105" customWidth="1"/>
    <col min="5" max="5" width="12.5703125" style="105" customWidth="1"/>
    <col min="6" max="16384" width="9.140625" style="105"/>
  </cols>
  <sheetData>
    <row r="1" spans="1:6" ht="12" customHeight="1" x14ac:dyDescent="0.2">
      <c r="A1" s="565"/>
      <c r="C1" s="164"/>
      <c r="D1" s="230" t="s">
        <v>1818</v>
      </c>
      <c r="E1" s="164"/>
      <c r="F1" s="108"/>
    </row>
    <row r="2" spans="1:6" x14ac:dyDescent="0.2">
      <c r="A2" s="676" t="s">
        <v>183</v>
      </c>
      <c r="B2" s="676"/>
      <c r="C2" s="676"/>
      <c r="D2" s="676"/>
    </row>
    <row r="3" spans="1:6" x14ac:dyDescent="0.2">
      <c r="A3" s="670"/>
      <c r="B3" s="670"/>
      <c r="D3" s="497" t="s">
        <v>559</v>
      </c>
    </row>
    <row r="4" spans="1:6" x14ac:dyDescent="0.2">
      <c r="A4" s="690" t="s">
        <v>148</v>
      </c>
      <c r="B4" s="679" t="s">
        <v>147</v>
      </c>
      <c r="C4" s="686"/>
      <c r="D4" s="687"/>
    </row>
    <row r="5" spans="1:6" x14ac:dyDescent="0.2">
      <c r="A5" s="691"/>
      <c r="B5" s="685"/>
      <c r="C5" s="688"/>
      <c r="D5" s="689"/>
    </row>
    <row r="6" spans="1:6" ht="33.75" x14ac:dyDescent="0.2">
      <c r="A6" s="582"/>
      <c r="B6" s="157" t="s">
        <v>557</v>
      </c>
      <c r="C6" s="157" t="s">
        <v>1304</v>
      </c>
      <c r="D6" s="157" t="s">
        <v>1311</v>
      </c>
    </row>
    <row r="7" spans="1:6" x14ac:dyDescent="0.2">
      <c r="A7" s="536" t="s">
        <v>574</v>
      </c>
      <c r="B7" s="577"/>
      <c r="C7" s="577">
        <v>334</v>
      </c>
      <c r="D7" s="577">
        <v>334</v>
      </c>
    </row>
    <row r="8" spans="1:6" x14ac:dyDescent="0.2">
      <c r="A8" s="536" t="s">
        <v>575</v>
      </c>
      <c r="B8" s="577"/>
      <c r="C8" s="574">
        <v>137910</v>
      </c>
      <c r="D8" s="574">
        <v>137910</v>
      </c>
    </row>
    <row r="9" spans="1:6" x14ac:dyDescent="0.2">
      <c r="A9" s="578" t="s">
        <v>42</v>
      </c>
      <c r="B9" s="577"/>
      <c r="C9" s="47">
        <f>SUM(C7:C8)</f>
        <v>138244</v>
      </c>
      <c r="D9" s="47">
        <f>SUM(D7:D8)</f>
        <v>138244</v>
      </c>
    </row>
    <row r="10" spans="1:6" x14ac:dyDescent="0.2">
      <c r="A10" s="565"/>
      <c r="B10" s="235"/>
      <c r="C10" s="57"/>
      <c r="D10" s="57"/>
    </row>
    <row r="11" spans="1:6" x14ac:dyDescent="0.2">
      <c r="A11" s="189"/>
      <c r="B11" s="189"/>
      <c r="C11" s="189"/>
      <c r="D11" s="543" t="s">
        <v>1819</v>
      </c>
      <c r="E11" s="189"/>
    </row>
    <row r="12" spans="1:6" ht="23.25" customHeight="1" x14ac:dyDescent="0.2">
      <c r="A12" s="674" t="s">
        <v>182</v>
      </c>
      <c r="B12" s="674"/>
      <c r="C12" s="674"/>
      <c r="D12" s="674"/>
      <c r="E12" s="221"/>
    </row>
    <row r="13" spans="1:6" x14ac:dyDescent="0.2">
      <c r="A13" s="492"/>
      <c r="B13" s="492"/>
      <c r="C13" s="492"/>
      <c r="D13" s="497" t="s">
        <v>559</v>
      </c>
      <c r="E13" s="492"/>
    </row>
    <row r="14" spans="1:6" ht="12.75" customHeight="1" x14ac:dyDescent="0.2">
      <c r="A14" s="671" t="s">
        <v>152</v>
      </c>
      <c r="B14" s="679" t="s">
        <v>147</v>
      </c>
      <c r="C14" s="686"/>
      <c r="D14" s="687"/>
    </row>
    <row r="15" spans="1:6" x14ac:dyDescent="0.2">
      <c r="A15" s="672"/>
      <c r="B15" s="685"/>
      <c r="C15" s="688"/>
      <c r="D15" s="689"/>
    </row>
    <row r="16" spans="1:6" ht="33.75" x14ac:dyDescent="0.2">
      <c r="A16" s="577"/>
      <c r="B16" s="157" t="s">
        <v>557</v>
      </c>
      <c r="C16" s="157" t="s">
        <v>1304</v>
      </c>
      <c r="D16" s="157" t="s">
        <v>1311</v>
      </c>
    </row>
    <row r="17" spans="1:5" x14ac:dyDescent="0.2">
      <c r="A17" s="577"/>
      <c r="B17" s="577"/>
      <c r="C17" s="577"/>
      <c r="D17" s="577"/>
    </row>
    <row r="18" spans="1:5" x14ac:dyDescent="0.2">
      <c r="A18" s="578" t="s">
        <v>42</v>
      </c>
      <c r="B18" s="577"/>
      <c r="C18" s="577"/>
      <c r="D18" s="577"/>
    </row>
    <row r="19" spans="1:5" x14ac:dyDescent="0.2">
      <c r="A19" s="235"/>
      <c r="B19" s="235"/>
      <c r="C19" s="235"/>
      <c r="D19" s="235"/>
      <c r="E19" s="235"/>
    </row>
    <row r="20" spans="1:5" x14ac:dyDescent="0.2">
      <c r="A20" s="189"/>
      <c r="B20" s="189"/>
      <c r="C20" s="189"/>
      <c r="D20" s="543" t="s">
        <v>1820</v>
      </c>
      <c r="E20" s="189"/>
    </row>
    <row r="21" spans="1:5" ht="20.25" customHeight="1" x14ac:dyDescent="0.2">
      <c r="A21" s="674" t="s">
        <v>181</v>
      </c>
      <c r="B21" s="674"/>
      <c r="C21" s="674"/>
      <c r="D21" s="674"/>
      <c r="E21" s="221"/>
    </row>
    <row r="22" spans="1:5" ht="12" customHeight="1" x14ac:dyDescent="0.2">
      <c r="A22" s="164"/>
      <c r="B22" s="164"/>
      <c r="C22" s="164"/>
      <c r="D22" s="491" t="s">
        <v>23</v>
      </c>
      <c r="E22" s="164"/>
    </row>
    <row r="23" spans="1:5" ht="12.75" customHeight="1" x14ac:dyDescent="0.2">
      <c r="A23" s="690" t="s">
        <v>148</v>
      </c>
      <c r="B23" s="679" t="s">
        <v>147</v>
      </c>
      <c r="C23" s="686" t="s">
        <v>286</v>
      </c>
      <c r="D23" s="687" t="s">
        <v>146</v>
      </c>
      <c r="E23" s="236"/>
    </row>
    <row r="24" spans="1:5" ht="14.25" customHeight="1" x14ac:dyDescent="0.2">
      <c r="A24" s="691"/>
      <c r="B24" s="685"/>
      <c r="C24" s="688"/>
      <c r="D24" s="689"/>
    </row>
    <row r="25" spans="1:5" ht="33.75" x14ac:dyDescent="0.2">
      <c r="A25" s="582"/>
      <c r="B25" s="157" t="s">
        <v>557</v>
      </c>
      <c r="C25" s="157" t="s">
        <v>1304</v>
      </c>
      <c r="D25" s="157" t="s">
        <v>1311</v>
      </c>
    </row>
    <row r="26" spans="1:5" x14ac:dyDescent="0.2">
      <c r="A26" s="582"/>
      <c r="B26" s="239"/>
      <c r="C26" s="237"/>
      <c r="D26" s="237"/>
    </row>
    <row r="27" spans="1:5" x14ac:dyDescent="0.2">
      <c r="A27" s="578" t="s">
        <v>42</v>
      </c>
      <c r="B27" s="239"/>
      <c r="C27" s="159"/>
      <c r="D27" s="159"/>
      <c r="E27" s="236"/>
    </row>
    <row r="29" spans="1:5" x14ac:dyDescent="0.2">
      <c r="A29" s="189"/>
      <c r="B29" s="189"/>
      <c r="C29" s="189"/>
      <c r="D29" s="543" t="s">
        <v>1821</v>
      </c>
      <c r="E29" s="189"/>
    </row>
    <row r="30" spans="1:5" x14ac:dyDescent="0.2">
      <c r="A30" s="676" t="s">
        <v>180</v>
      </c>
      <c r="B30" s="676"/>
      <c r="C30" s="676"/>
      <c r="D30" s="676"/>
      <c r="E30" s="191"/>
    </row>
    <row r="31" spans="1:5" x14ac:dyDescent="0.2">
      <c r="A31" s="164"/>
      <c r="B31" s="164"/>
      <c r="C31" s="164"/>
      <c r="D31" s="491" t="s">
        <v>23</v>
      </c>
      <c r="E31" s="164"/>
    </row>
    <row r="32" spans="1:5" ht="12.75" customHeight="1" x14ac:dyDescent="0.2">
      <c r="A32" s="690" t="s">
        <v>148</v>
      </c>
      <c r="B32" s="679" t="s">
        <v>147</v>
      </c>
      <c r="C32" s="686"/>
      <c r="D32" s="687"/>
      <c r="E32" s="236"/>
    </row>
    <row r="33" spans="1:5" x14ac:dyDescent="0.2">
      <c r="A33" s="691"/>
      <c r="B33" s="685"/>
      <c r="C33" s="688"/>
      <c r="D33" s="689"/>
    </row>
    <row r="34" spans="1:5" ht="33.75" x14ac:dyDescent="0.2">
      <c r="A34" s="20"/>
      <c r="B34" s="157" t="s">
        <v>557</v>
      </c>
      <c r="C34" s="157" t="s">
        <v>1304</v>
      </c>
      <c r="D34" s="157" t="s">
        <v>1311</v>
      </c>
    </row>
    <row r="35" spans="1:5" ht="33.75" x14ac:dyDescent="0.2">
      <c r="A35" s="534" t="s">
        <v>295</v>
      </c>
      <c r="B35" s="46">
        <v>38387</v>
      </c>
      <c r="C35" s="583">
        <v>37998</v>
      </c>
      <c r="D35" s="583">
        <v>37998</v>
      </c>
    </row>
    <row r="36" spans="1:5" ht="24" customHeight="1" x14ac:dyDescent="0.2">
      <c r="A36" s="534" t="s">
        <v>296</v>
      </c>
      <c r="B36" s="46">
        <v>3838</v>
      </c>
      <c r="C36" s="46">
        <v>3838</v>
      </c>
      <c r="D36" s="46">
        <v>3838</v>
      </c>
    </row>
    <row r="37" spans="1:5" x14ac:dyDescent="0.2">
      <c r="A37" s="582"/>
      <c r="B37" s="239"/>
      <c r="C37" s="237"/>
      <c r="D37" s="237"/>
    </row>
    <row r="38" spans="1:5" x14ac:dyDescent="0.2">
      <c r="A38" s="578" t="s">
        <v>42</v>
      </c>
      <c r="B38" s="47">
        <f>SUM(B35:B37)</f>
        <v>42225</v>
      </c>
      <c r="C38" s="47">
        <f t="shared" ref="C38:D38" si="0">SUM(C35:C37)</f>
        <v>41836</v>
      </c>
      <c r="D38" s="47">
        <f t="shared" si="0"/>
        <v>41836</v>
      </c>
    </row>
    <row r="40" spans="1:5" x14ac:dyDescent="0.2">
      <c r="A40" s="189"/>
      <c r="B40" s="189"/>
      <c r="C40" s="189"/>
      <c r="D40" s="543" t="s">
        <v>1822</v>
      </c>
      <c r="E40" s="189"/>
    </row>
    <row r="41" spans="1:5" x14ac:dyDescent="0.2">
      <c r="A41" s="677" t="s">
        <v>179</v>
      </c>
      <c r="B41" s="677"/>
      <c r="C41" s="677"/>
      <c r="D41" s="677"/>
      <c r="E41" s="221"/>
    </row>
    <row r="42" spans="1:5" x14ac:dyDescent="0.2">
      <c r="A42" s="492"/>
      <c r="B42" s="492"/>
      <c r="C42" s="492"/>
      <c r="D42" s="492" t="s">
        <v>0</v>
      </c>
      <c r="E42" s="492"/>
    </row>
    <row r="43" spans="1:5" ht="12.75" customHeight="1" x14ac:dyDescent="0.2">
      <c r="A43" s="671" t="s">
        <v>152</v>
      </c>
      <c r="B43" s="679" t="s">
        <v>147</v>
      </c>
      <c r="C43" s="686"/>
      <c r="D43" s="687"/>
    </row>
    <row r="44" spans="1:5" ht="6.75" customHeight="1" x14ac:dyDescent="0.2">
      <c r="A44" s="672"/>
      <c r="B44" s="685"/>
      <c r="C44" s="688"/>
      <c r="D44" s="689"/>
    </row>
    <row r="45" spans="1:5" ht="33.75" x14ac:dyDescent="0.2">
      <c r="A45" s="577"/>
      <c r="B45" s="157" t="s">
        <v>557</v>
      </c>
      <c r="C45" s="157" t="s">
        <v>1304</v>
      </c>
      <c r="D45" s="157" t="s">
        <v>1311</v>
      </c>
    </row>
    <row r="46" spans="1:5" x14ac:dyDescent="0.2">
      <c r="A46" s="584" t="s">
        <v>1296</v>
      </c>
      <c r="B46" s="577"/>
      <c r="C46" s="577"/>
      <c r="D46" s="577"/>
    </row>
    <row r="47" spans="1:5" x14ac:dyDescent="0.2">
      <c r="A47" s="578" t="s">
        <v>42</v>
      </c>
      <c r="B47" s="577"/>
      <c r="C47" s="577"/>
      <c r="D47" s="577">
        <f>SUM(D46:D46)</f>
        <v>0</v>
      </c>
    </row>
    <row r="49" spans="1:6" x14ac:dyDescent="0.2">
      <c r="A49" s="189"/>
      <c r="B49" s="189"/>
      <c r="C49" s="189"/>
      <c r="D49" s="543" t="s">
        <v>1823</v>
      </c>
      <c r="E49" s="189"/>
    </row>
    <row r="50" spans="1:6" x14ac:dyDescent="0.2">
      <c r="A50" s="677" t="s">
        <v>178</v>
      </c>
      <c r="B50" s="677"/>
      <c r="C50" s="677"/>
      <c r="D50" s="677"/>
      <c r="E50" s="221"/>
    </row>
    <row r="51" spans="1:6" x14ac:dyDescent="0.2">
      <c r="A51" s="492"/>
      <c r="B51" s="492"/>
      <c r="C51" s="492"/>
      <c r="D51" s="492" t="s">
        <v>0</v>
      </c>
      <c r="E51" s="492"/>
    </row>
    <row r="52" spans="1:6" ht="12.75" customHeight="1" x14ac:dyDescent="0.2">
      <c r="A52" s="671" t="s">
        <v>152</v>
      </c>
      <c r="B52" s="679" t="s">
        <v>147</v>
      </c>
      <c r="C52" s="686" t="s">
        <v>286</v>
      </c>
      <c r="D52" s="687" t="s">
        <v>146</v>
      </c>
    </row>
    <row r="53" spans="1:6" ht="6.75" customHeight="1" x14ac:dyDescent="0.2">
      <c r="A53" s="672"/>
      <c r="B53" s="685"/>
      <c r="C53" s="688"/>
      <c r="D53" s="689"/>
    </row>
    <row r="54" spans="1:6" ht="33" customHeight="1" x14ac:dyDescent="0.2">
      <c r="A54" s="55"/>
      <c r="B54" s="157" t="s">
        <v>557</v>
      </c>
      <c r="C54" s="157" t="s">
        <v>1304</v>
      </c>
      <c r="D54" s="157" t="s">
        <v>1311</v>
      </c>
    </row>
    <row r="55" spans="1:6" x14ac:dyDescent="0.2">
      <c r="A55" s="534" t="s">
        <v>297</v>
      </c>
      <c r="B55" s="46">
        <v>30000</v>
      </c>
      <c r="C55" s="46">
        <v>34501</v>
      </c>
      <c r="D55" s="46">
        <v>34501</v>
      </c>
    </row>
    <row r="56" spans="1:6" ht="13.5" customHeight="1" x14ac:dyDescent="0.2">
      <c r="A56" s="534" t="s">
        <v>298</v>
      </c>
      <c r="B56" s="46">
        <v>4000</v>
      </c>
      <c r="C56" s="46">
        <v>1591</v>
      </c>
      <c r="D56" s="46">
        <v>1591</v>
      </c>
    </row>
    <row r="57" spans="1:6" x14ac:dyDescent="0.2">
      <c r="A57" s="534" t="s">
        <v>1295</v>
      </c>
      <c r="B57" s="46"/>
      <c r="C57" s="577"/>
      <c r="D57" s="577"/>
    </row>
    <row r="58" spans="1:6" ht="22.5" x14ac:dyDescent="0.2">
      <c r="A58" s="534" t="s">
        <v>1330</v>
      </c>
      <c r="B58" s="577">
        <v>372</v>
      </c>
      <c r="C58" s="577">
        <v>383</v>
      </c>
      <c r="D58" s="577">
        <v>383</v>
      </c>
    </row>
    <row r="59" spans="1:6" ht="22.5" x14ac:dyDescent="0.2">
      <c r="A59" s="534" t="s">
        <v>1331</v>
      </c>
      <c r="B59" s="577"/>
      <c r="C59" s="574">
        <v>15007</v>
      </c>
      <c r="D59" s="574">
        <v>15007</v>
      </c>
    </row>
    <row r="60" spans="1:6" ht="14.25" customHeight="1" x14ac:dyDescent="0.2">
      <c r="A60" s="534" t="s">
        <v>1123</v>
      </c>
      <c r="B60" s="577"/>
      <c r="C60" s="46">
        <v>15748</v>
      </c>
      <c r="D60" s="46">
        <v>15748</v>
      </c>
    </row>
    <row r="61" spans="1:6" x14ac:dyDescent="0.2">
      <c r="A61" s="578" t="s">
        <v>42</v>
      </c>
      <c r="B61" s="47">
        <f>SUM(B55:B60)</f>
        <v>34372</v>
      </c>
      <c r="C61" s="47">
        <f t="shared" ref="C61:D61" si="1">SUM(C55:C60)</f>
        <v>67230</v>
      </c>
      <c r="D61" s="47">
        <f t="shared" si="1"/>
        <v>67230</v>
      </c>
      <c r="F61" s="117"/>
    </row>
  </sheetData>
  <mergeCells count="19">
    <mergeCell ref="B23:D24"/>
    <mergeCell ref="A12:D12"/>
    <mergeCell ref="A21:D21"/>
    <mergeCell ref="A2:D2"/>
    <mergeCell ref="B32:D33"/>
    <mergeCell ref="A30:D30"/>
    <mergeCell ref="A3:B3"/>
    <mergeCell ref="A14:A15"/>
    <mergeCell ref="A23:A24"/>
    <mergeCell ref="B4:D5"/>
    <mergeCell ref="A4:A5"/>
    <mergeCell ref="B14:D15"/>
    <mergeCell ref="B43:D44"/>
    <mergeCell ref="B52:D53"/>
    <mergeCell ref="A32:A33"/>
    <mergeCell ref="A43:A44"/>
    <mergeCell ref="A52:A53"/>
    <mergeCell ref="A41:D41"/>
    <mergeCell ref="A50:D50"/>
  </mergeCells>
  <printOptions horizontalCentered="1"/>
  <pageMargins left="0.43307086614173229" right="0.15748031496062992" top="0.35433070866141736" bottom="0" header="7.874015748031496E-2" footer="0"/>
  <pageSetup paperSize="9" scale="85" orientation="portrait" r:id="rId1"/>
  <headerFooter alignWithMargins="0">
    <oddHeader>&amp;LVeresegyház Város Önkormányzat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R22" sqref="R22"/>
    </sheetView>
  </sheetViews>
  <sheetFormatPr defaultRowHeight="15" x14ac:dyDescent="0.25"/>
  <cols>
    <col min="1" max="1" width="8.7109375" style="68" bestFit="1" customWidth="1"/>
    <col min="2" max="2" width="8.85546875" style="68" bestFit="1" customWidth="1"/>
    <col min="3" max="3" width="16.42578125" style="68" bestFit="1" customWidth="1"/>
    <col min="4" max="4" width="8.28515625" style="68" bestFit="1" customWidth="1"/>
    <col min="5" max="5" width="6.28515625" style="68" bestFit="1" customWidth="1"/>
    <col min="6" max="6" width="9.140625" style="68"/>
    <col min="7" max="7" width="40.5703125" style="68" bestFit="1" customWidth="1"/>
    <col min="8" max="8" width="8.85546875" style="68" bestFit="1" customWidth="1"/>
    <col min="9" max="9" width="8.5703125" style="68" bestFit="1" customWidth="1"/>
    <col min="10" max="10" width="9.140625" style="68"/>
    <col min="11" max="11" width="10.85546875" style="68" bestFit="1" customWidth="1"/>
    <col min="12" max="12" width="10.7109375" style="68" bestFit="1" customWidth="1"/>
    <col min="13" max="16384" width="9.140625" style="68"/>
  </cols>
  <sheetData>
    <row r="1" spans="1:13" ht="45" x14ac:dyDescent="0.25">
      <c r="A1" s="247" t="s">
        <v>437</v>
      </c>
      <c r="B1" s="247" t="s">
        <v>438</v>
      </c>
      <c r="C1" s="248" t="s">
        <v>439</v>
      </c>
      <c r="D1" s="249"/>
      <c r="E1" s="981" t="s">
        <v>440</v>
      </c>
      <c r="F1" s="982"/>
      <c r="G1" s="250"/>
      <c r="H1" s="247" t="s">
        <v>441</v>
      </c>
      <c r="I1" s="247" t="s">
        <v>442</v>
      </c>
      <c r="J1" s="248" t="s">
        <v>588</v>
      </c>
      <c r="K1" s="248" t="s">
        <v>443</v>
      </c>
      <c r="L1" s="251"/>
      <c r="M1" s="252"/>
    </row>
    <row r="2" spans="1:13" s="69" customFormat="1" ht="18.75" customHeight="1" x14ac:dyDescent="0.25">
      <c r="A2" s="253">
        <v>41719</v>
      </c>
      <c r="B2" s="254" t="s">
        <v>444</v>
      </c>
      <c r="C2" s="255">
        <v>300000000</v>
      </c>
      <c r="D2" s="256"/>
      <c r="E2" s="257">
        <v>0.1</v>
      </c>
      <c r="F2" s="258"/>
      <c r="G2" s="259"/>
      <c r="H2" s="253">
        <v>42004</v>
      </c>
      <c r="I2" s="253"/>
      <c r="J2" s="258"/>
      <c r="K2" s="260">
        <f t="shared" ref="K2:K9" si="0">SUM(C2-J2)</f>
        <v>300000000</v>
      </c>
      <c r="L2" s="261"/>
      <c r="M2" s="262"/>
    </row>
    <row r="3" spans="1:13" s="69" customFormat="1" ht="18.75" customHeight="1" x14ac:dyDescent="0.25">
      <c r="A3" s="253">
        <v>41827</v>
      </c>
      <c r="B3" s="254" t="s">
        <v>444</v>
      </c>
      <c r="C3" s="255">
        <v>200000000</v>
      </c>
      <c r="D3" s="256" t="s">
        <v>1136</v>
      </c>
      <c r="E3" s="257">
        <v>0.1</v>
      </c>
      <c r="F3" s="259"/>
      <c r="G3" s="259"/>
      <c r="H3" s="253">
        <v>42004</v>
      </c>
      <c r="I3" s="253"/>
      <c r="J3" s="258"/>
      <c r="K3" s="260">
        <f t="shared" si="0"/>
        <v>200000000</v>
      </c>
      <c r="L3" s="261"/>
      <c r="M3" s="262"/>
    </row>
    <row r="4" spans="1:13" s="69" customFormat="1" ht="18.75" customHeight="1" x14ac:dyDescent="0.25">
      <c r="A4" s="253">
        <v>41844</v>
      </c>
      <c r="B4" s="254" t="s">
        <v>444</v>
      </c>
      <c r="C4" s="255">
        <v>400000000</v>
      </c>
      <c r="D4" s="256" t="s">
        <v>1137</v>
      </c>
      <c r="E4" s="257">
        <v>0.1</v>
      </c>
      <c r="F4" s="258"/>
      <c r="G4" s="259" t="s">
        <v>1138</v>
      </c>
      <c r="H4" s="253">
        <v>42004</v>
      </c>
      <c r="I4" s="253"/>
      <c r="J4" s="258"/>
      <c r="K4" s="260">
        <f t="shared" si="0"/>
        <v>400000000</v>
      </c>
      <c r="L4" s="261"/>
      <c r="M4" s="262"/>
    </row>
    <row r="5" spans="1:13" s="69" customFormat="1" ht="18.75" customHeight="1" x14ac:dyDescent="0.25">
      <c r="A5" s="253">
        <v>41849</v>
      </c>
      <c r="B5" s="254" t="s">
        <v>444</v>
      </c>
      <c r="C5" s="255">
        <v>50000000</v>
      </c>
      <c r="D5" s="256" t="s">
        <v>1137</v>
      </c>
      <c r="E5" s="257">
        <v>0.1</v>
      </c>
      <c r="F5" s="259"/>
      <c r="G5" s="259" t="s">
        <v>1138</v>
      </c>
      <c r="H5" s="253">
        <v>42004</v>
      </c>
      <c r="I5" s="253"/>
      <c r="J5" s="258"/>
      <c r="K5" s="260">
        <f t="shared" si="0"/>
        <v>50000000</v>
      </c>
      <c r="L5" s="261"/>
      <c r="M5" s="262"/>
    </row>
    <row r="6" spans="1:13" s="69" customFormat="1" ht="18.75" customHeight="1" x14ac:dyDescent="0.25">
      <c r="A6" s="253">
        <v>41863</v>
      </c>
      <c r="B6" s="254" t="s">
        <v>444</v>
      </c>
      <c r="C6" s="255">
        <v>50000000</v>
      </c>
      <c r="D6" s="256" t="s">
        <v>1137</v>
      </c>
      <c r="E6" s="257">
        <v>0.1</v>
      </c>
      <c r="F6" s="259"/>
      <c r="G6" s="259" t="s">
        <v>1138</v>
      </c>
      <c r="H6" s="253">
        <v>42004</v>
      </c>
      <c r="I6" s="253"/>
      <c r="J6" s="258"/>
      <c r="K6" s="260">
        <f t="shared" si="0"/>
        <v>50000000</v>
      </c>
      <c r="L6" s="261"/>
      <c r="M6" s="262"/>
    </row>
    <row r="7" spans="1:13" s="69" customFormat="1" ht="18.75" customHeight="1" x14ac:dyDescent="0.25">
      <c r="A7" s="253">
        <v>41879</v>
      </c>
      <c r="B7" s="254" t="s">
        <v>444</v>
      </c>
      <c r="C7" s="255">
        <v>50000000</v>
      </c>
      <c r="D7" s="256" t="s">
        <v>1139</v>
      </c>
      <c r="E7" s="257">
        <v>0.1</v>
      </c>
      <c r="F7" s="259"/>
      <c r="G7" s="259" t="s">
        <v>1140</v>
      </c>
      <c r="H7" s="253">
        <v>42004</v>
      </c>
      <c r="I7" s="253"/>
      <c r="J7" s="258"/>
      <c r="K7" s="260">
        <f t="shared" si="0"/>
        <v>50000000</v>
      </c>
      <c r="L7" s="261"/>
      <c r="M7" s="262"/>
    </row>
    <row r="8" spans="1:13" s="69" customFormat="1" ht="18.75" customHeight="1" x14ac:dyDescent="0.25">
      <c r="A8" s="253">
        <v>41880</v>
      </c>
      <c r="B8" s="254" t="s">
        <v>444</v>
      </c>
      <c r="C8" s="255">
        <v>40000000</v>
      </c>
      <c r="D8" s="256" t="s">
        <v>1139</v>
      </c>
      <c r="E8" s="257">
        <v>0.1</v>
      </c>
      <c r="F8" s="259"/>
      <c r="G8" s="259" t="s">
        <v>1140</v>
      </c>
      <c r="H8" s="253">
        <v>42004</v>
      </c>
      <c r="I8" s="253"/>
      <c r="J8" s="258"/>
      <c r="K8" s="260">
        <f t="shared" si="0"/>
        <v>40000000</v>
      </c>
      <c r="L8" s="261"/>
      <c r="M8" s="262"/>
    </row>
    <row r="9" spans="1:13" ht="16.5" customHeight="1" x14ac:dyDescent="0.25">
      <c r="A9" s="253">
        <v>41885</v>
      </c>
      <c r="B9" s="254" t="s">
        <v>444</v>
      </c>
      <c r="C9" s="255">
        <v>20000000</v>
      </c>
      <c r="D9" s="256" t="s">
        <v>1139</v>
      </c>
      <c r="E9" s="257">
        <v>0.1</v>
      </c>
      <c r="F9" s="259"/>
      <c r="G9" s="259" t="s">
        <v>1140</v>
      </c>
      <c r="H9" s="253">
        <v>42004</v>
      </c>
      <c r="I9" s="253"/>
      <c r="J9" s="258"/>
      <c r="K9" s="260">
        <f t="shared" si="0"/>
        <v>20000000</v>
      </c>
      <c r="L9" s="261"/>
      <c r="M9" s="262"/>
    </row>
    <row r="10" spans="1:13" s="67" customFormat="1" ht="16.5" customHeight="1" x14ac:dyDescent="0.2">
      <c r="A10" s="253">
        <v>42004</v>
      </c>
      <c r="B10" s="254" t="s">
        <v>589</v>
      </c>
      <c r="C10" s="255">
        <v>781458008</v>
      </c>
      <c r="D10" s="256"/>
      <c r="E10" s="257"/>
      <c r="F10" s="259"/>
      <c r="G10" s="258" t="s">
        <v>1733</v>
      </c>
      <c r="H10" s="258"/>
      <c r="I10" s="258"/>
      <c r="J10" s="258"/>
      <c r="K10" s="260">
        <f>SUM(C10-J10)</f>
        <v>781458008</v>
      </c>
      <c r="L10" s="261"/>
      <c r="M10" s="262"/>
    </row>
    <row r="11" spans="1:13" ht="16.5" customHeight="1" x14ac:dyDescent="0.25">
      <c r="A11" s="253"/>
      <c r="B11" s="254"/>
      <c r="C11" s="255"/>
      <c r="D11" s="256"/>
      <c r="E11" s="257"/>
      <c r="F11" s="259"/>
      <c r="G11" s="259"/>
      <c r="H11" s="253"/>
      <c r="I11" s="253"/>
      <c r="J11" s="258"/>
      <c r="K11" s="260"/>
      <c r="L11" s="261"/>
      <c r="M11" s="262"/>
    </row>
    <row r="12" spans="1:13" ht="16.5" customHeight="1" x14ac:dyDescent="0.25">
      <c r="A12" s="253"/>
      <c r="B12" s="254"/>
      <c r="C12" s="255"/>
      <c r="D12" s="256"/>
      <c r="E12" s="257"/>
      <c r="F12" s="259"/>
      <c r="G12" s="259"/>
      <c r="H12" s="253"/>
      <c r="I12" s="253"/>
      <c r="J12" s="258"/>
      <c r="K12" s="260"/>
      <c r="L12" s="261"/>
      <c r="M12" s="262"/>
    </row>
    <row r="13" spans="1:13" ht="16.5" customHeight="1" x14ac:dyDescent="0.25">
      <c r="A13" s="263"/>
      <c r="B13" s="264"/>
      <c r="C13" s="265">
        <f>SUM(C2:C12)</f>
        <v>1891458008</v>
      </c>
      <c r="D13" s="266"/>
      <c r="E13" s="267"/>
      <c r="F13" s="268"/>
      <c r="G13" s="268"/>
      <c r="H13" s="263"/>
      <c r="I13" s="263"/>
      <c r="J13" s="269"/>
      <c r="K13" s="270">
        <f>SUM(K2:K12)</f>
        <v>1891458008</v>
      </c>
      <c r="L13" s="261"/>
      <c r="M13" s="262"/>
    </row>
    <row r="14" spans="1:13" x14ac:dyDescent="0.25">
      <c r="A14" s="253"/>
      <c r="B14" s="254"/>
      <c r="C14" s="255"/>
      <c r="D14" s="256"/>
      <c r="E14" s="257"/>
      <c r="F14" s="259"/>
      <c r="G14" s="259"/>
      <c r="H14" s="253"/>
      <c r="I14" s="253"/>
      <c r="J14" s="258"/>
      <c r="K14" s="260"/>
      <c r="L14" s="261"/>
      <c r="M14" s="262"/>
    </row>
    <row r="15" spans="1:13" x14ac:dyDescent="0.25">
      <c r="A15" s="253"/>
      <c r="B15" s="254"/>
      <c r="C15" s="255"/>
      <c r="D15" s="256"/>
      <c r="E15" s="257"/>
      <c r="F15" s="259"/>
      <c r="G15" s="259"/>
      <c r="H15" s="253"/>
      <c r="I15" s="253"/>
      <c r="J15" s="258"/>
      <c r="K15" s="260"/>
      <c r="L15" s="261"/>
      <c r="M15" s="262"/>
    </row>
    <row r="16" spans="1:13" ht="16.5" customHeight="1" x14ac:dyDescent="0.25">
      <c r="A16" s="253"/>
      <c r="B16" s="254"/>
      <c r="C16" s="255"/>
      <c r="D16" s="256"/>
      <c r="E16" s="257"/>
      <c r="F16" s="259"/>
      <c r="G16" s="259"/>
      <c r="H16" s="253"/>
      <c r="I16" s="253"/>
      <c r="J16" s="258"/>
      <c r="K16" s="260"/>
      <c r="L16" s="261"/>
      <c r="M16" s="262"/>
    </row>
    <row r="17" spans="1:13" ht="16.5" customHeight="1" x14ac:dyDescent="0.25">
      <c r="A17" s="271"/>
      <c r="B17" s="272"/>
      <c r="C17" s="260"/>
      <c r="D17" s="273"/>
      <c r="E17" s="257"/>
      <c r="F17" s="274"/>
      <c r="G17" s="274"/>
      <c r="H17" s="271"/>
      <c r="I17" s="271"/>
      <c r="J17" s="275"/>
      <c r="K17" s="260"/>
      <c r="L17" s="261"/>
      <c r="M17" s="262"/>
    </row>
    <row r="18" spans="1:13" ht="16.5" customHeight="1" x14ac:dyDescent="0.25"/>
    <row r="19" spans="1:13" ht="16.5" customHeight="1" x14ac:dyDescent="0.25"/>
    <row r="20" spans="1:13" s="67" customFormat="1" ht="16.5" customHeight="1" x14ac:dyDescent="0.2"/>
    <row r="21" spans="1:13" ht="16.5" customHeight="1" x14ac:dyDescent="0.25"/>
    <row r="22" spans="1:13" ht="16.5" customHeight="1" x14ac:dyDescent="0.25"/>
    <row r="23" spans="1:13" ht="16.5" customHeight="1" x14ac:dyDescent="0.25"/>
    <row r="24" spans="1:13" s="67" customFormat="1" ht="16.5" customHeight="1" x14ac:dyDescent="0.2"/>
    <row r="25" spans="1:13" ht="16.5" customHeight="1" x14ac:dyDescent="0.25"/>
    <row r="26" spans="1:13" s="67" customFormat="1" ht="16.5" customHeight="1" x14ac:dyDescent="0.2"/>
    <row r="27" spans="1:13" s="67" customFormat="1" ht="16.5" customHeight="1" x14ac:dyDescent="0.2"/>
    <row r="28" spans="1:13" s="67" customFormat="1" ht="16.5" customHeight="1" x14ac:dyDescent="0.2"/>
    <row r="29" spans="1:13" s="67" customFormat="1" ht="16.5" customHeight="1" x14ac:dyDescent="0.2"/>
    <row r="30" spans="1:13" s="67" customFormat="1" ht="16.5" customHeight="1" x14ac:dyDescent="0.2"/>
  </sheetData>
  <mergeCells count="1">
    <mergeCell ref="E1:F1"/>
  </mergeCells>
  <printOptions horizontalCentered="1"/>
  <pageMargins left="0" right="0" top="0.74803149606299213" bottom="0.74803149606299213" header="0.31496062992125984" footer="0.31496062992125984"/>
  <pageSetup paperSize="9" scale="90" orientation="landscape" r:id="rId1"/>
  <headerFooter>
    <oddHeader xml:space="preserve">&amp;LVeresegyház Város Önkormányzata&amp;CHitelek állománya 2014.12.31.&amp;R&amp;8 30. melléklet
adatok Forintban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0"/>
  <sheetViews>
    <sheetView topLeftCell="A64" workbookViewId="0">
      <selection activeCell="E92" sqref="E92"/>
    </sheetView>
  </sheetViews>
  <sheetFormatPr defaultRowHeight="12.75" x14ac:dyDescent="0.2"/>
  <cols>
    <col min="1" max="1" width="54.5703125" style="105" customWidth="1"/>
    <col min="2" max="2" width="9.5703125" style="105" bestFit="1" customWidth="1"/>
    <col min="3" max="3" width="11.140625" style="105" customWidth="1"/>
    <col min="4" max="4" width="10.5703125" style="105" bestFit="1" customWidth="1"/>
    <col min="5" max="5" width="9.5703125" style="105" customWidth="1"/>
    <col min="6" max="6" width="10" style="105" customWidth="1"/>
    <col min="7" max="7" width="9.140625" style="105" bestFit="1" customWidth="1"/>
    <col min="8" max="8" width="9.28515625" style="105" customWidth="1"/>
    <col min="9" max="10" width="9.5703125" style="105" customWidth="1"/>
    <col min="11" max="16384" width="9.140625" style="105"/>
  </cols>
  <sheetData>
    <row r="1" spans="1:10" x14ac:dyDescent="0.2">
      <c r="J1" s="544" t="s">
        <v>1824</v>
      </c>
    </row>
    <row r="2" spans="1:10" x14ac:dyDescent="0.2">
      <c r="A2" s="677" t="s">
        <v>191</v>
      </c>
      <c r="B2" s="677"/>
      <c r="C2" s="677"/>
      <c r="D2" s="677"/>
      <c r="E2" s="677"/>
      <c r="F2" s="677"/>
      <c r="G2" s="677"/>
      <c r="H2" s="677"/>
      <c r="I2" s="677"/>
      <c r="J2" s="677"/>
    </row>
    <row r="3" spans="1:10" x14ac:dyDescent="0.2">
      <c r="J3" s="491" t="s">
        <v>0</v>
      </c>
    </row>
    <row r="4" spans="1:10" ht="22.5" customHeight="1" x14ac:dyDescent="0.2">
      <c r="A4" s="529" t="s">
        <v>50</v>
      </c>
      <c r="B4" s="692" t="s">
        <v>185</v>
      </c>
      <c r="C4" s="693"/>
      <c r="D4" s="694"/>
      <c r="E4" s="692" t="s">
        <v>299</v>
      </c>
      <c r="F4" s="693"/>
      <c r="G4" s="694"/>
      <c r="H4" s="692" t="s">
        <v>184</v>
      </c>
      <c r="I4" s="693" t="s">
        <v>184</v>
      </c>
      <c r="J4" s="694" t="s">
        <v>184</v>
      </c>
    </row>
    <row r="5" spans="1:10" ht="33.75" customHeight="1" x14ac:dyDescent="0.2">
      <c r="A5" s="495"/>
      <c r="B5" s="157" t="s">
        <v>557</v>
      </c>
      <c r="C5" s="157" t="s">
        <v>1304</v>
      </c>
      <c r="D5" s="157" t="s">
        <v>1311</v>
      </c>
      <c r="E5" s="157" t="s">
        <v>557</v>
      </c>
      <c r="F5" s="157" t="s">
        <v>1304</v>
      </c>
      <c r="G5" s="157" t="s">
        <v>1311</v>
      </c>
      <c r="H5" s="157" t="s">
        <v>557</v>
      </c>
      <c r="I5" s="157" t="s">
        <v>1304</v>
      </c>
      <c r="J5" s="157" t="s">
        <v>1311</v>
      </c>
    </row>
    <row r="6" spans="1:10" ht="22.5" x14ac:dyDescent="0.2">
      <c r="A6" s="534" t="s">
        <v>304</v>
      </c>
      <c r="B6" s="102">
        <v>13500</v>
      </c>
      <c r="C6" s="102">
        <v>8380</v>
      </c>
      <c r="D6" s="102">
        <v>8380</v>
      </c>
      <c r="E6" s="159"/>
      <c r="F6" s="159"/>
      <c r="G6" s="159"/>
      <c r="H6" s="51">
        <f>+B6+E6</f>
        <v>13500</v>
      </c>
      <c r="I6" s="51">
        <f t="shared" ref="I6:J6" si="0">+C6+F6</f>
        <v>8380</v>
      </c>
      <c r="J6" s="51">
        <f t="shared" si="0"/>
        <v>8380</v>
      </c>
    </row>
    <row r="7" spans="1:10" ht="33.75" x14ac:dyDescent="0.2">
      <c r="A7" s="534" t="s">
        <v>305</v>
      </c>
      <c r="B7" s="102">
        <v>5000</v>
      </c>
      <c r="C7" s="102">
        <v>4822</v>
      </c>
      <c r="D7" s="102">
        <v>4822</v>
      </c>
      <c r="E7" s="159"/>
      <c r="F7" s="159"/>
      <c r="G7" s="159"/>
      <c r="H7" s="51">
        <f t="shared" ref="H7:H28" si="1">+B7+E7</f>
        <v>5000</v>
      </c>
      <c r="I7" s="51">
        <f t="shared" ref="I7:I28" si="2">+C7+F7</f>
        <v>4822</v>
      </c>
      <c r="J7" s="51">
        <f t="shared" ref="J7:J28" si="3">+D7+G7</f>
        <v>4822</v>
      </c>
    </row>
    <row r="8" spans="1:10" x14ac:dyDescent="0.2">
      <c r="A8" s="534" t="s">
        <v>300</v>
      </c>
      <c r="B8" s="102">
        <v>100</v>
      </c>
      <c r="C8" s="102"/>
      <c r="D8" s="102"/>
      <c r="E8" s="159"/>
      <c r="F8" s="159"/>
      <c r="G8" s="159"/>
      <c r="H8" s="51">
        <f t="shared" si="1"/>
        <v>100</v>
      </c>
      <c r="I8" s="51">
        <f t="shared" si="2"/>
        <v>0</v>
      </c>
      <c r="J8" s="51">
        <f t="shared" si="3"/>
        <v>0</v>
      </c>
    </row>
    <row r="9" spans="1:10" x14ac:dyDescent="0.2">
      <c r="A9" s="534" t="s">
        <v>1297</v>
      </c>
      <c r="B9" s="102">
        <v>9850</v>
      </c>
      <c r="C9" s="102">
        <v>8121</v>
      </c>
      <c r="D9" s="102">
        <v>8121</v>
      </c>
      <c r="E9" s="159"/>
      <c r="F9" s="159"/>
      <c r="G9" s="159"/>
      <c r="H9" s="51">
        <f t="shared" si="1"/>
        <v>9850</v>
      </c>
      <c r="I9" s="51">
        <f t="shared" si="2"/>
        <v>8121</v>
      </c>
      <c r="J9" s="51">
        <f t="shared" si="3"/>
        <v>8121</v>
      </c>
    </row>
    <row r="10" spans="1:10" ht="22.5" x14ac:dyDescent="0.2">
      <c r="A10" s="534" t="s">
        <v>1298</v>
      </c>
      <c r="B10" s="102">
        <v>2500</v>
      </c>
      <c r="C10" s="102">
        <v>6237</v>
      </c>
      <c r="D10" s="102">
        <v>6237</v>
      </c>
      <c r="E10" s="159"/>
      <c r="F10" s="159"/>
      <c r="G10" s="159"/>
      <c r="H10" s="51">
        <f t="shared" si="1"/>
        <v>2500</v>
      </c>
      <c r="I10" s="51">
        <f t="shared" si="2"/>
        <v>6237</v>
      </c>
      <c r="J10" s="51">
        <f t="shared" si="3"/>
        <v>6237</v>
      </c>
    </row>
    <row r="11" spans="1:10" x14ac:dyDescent="0.2">
      <c r="A11" s="534" t="s">
        <v>301</v>
      </c>
      <c r="B11" s="102">
        <v>2500</v>
      </c>
      <c r="C11" s="102">
        <v>2596</v>
      </c>
      <c r="D11" s="102">
        <v>2596</v>
      </c>
      <c r="E11" s="159"/>
      <c r="F11" s="159"/>
      <c r="G11" s="159"/>
      <c r="H11" s="51">
        <f t="shared" si="1"/>
        <v>2500</v>
      </c>
      <c r="I11" s="51">
        <f t="shared" si="2"/>
        <v>2596</v>
      </c>
      <c r="J11" s="51">
        <f t="shared" si="3"/>
        <v>2596</v>
      </c>
    </row>
    <row r="12" spans="1:10" x14ac:dyDescent="0.2">
      <c r="A12" s="534" t="s">
        <v>587</v>
      </c>
      <c r="B12" s="102">
        <v>15000</v>
      </c>
      <c r="C12" s="102">
        <v>16394</v>
      </c>
      <c r="D12" s="102">
        <v>16394</v>
      </c>
      <c r="E12" s="159"/>
      <c r="F12" s="159"/>
      <c r="G12" s="159"/>
      <c r="H12" s="51">
        <f t="shared" si="1"/>
        <v>15000</v>
      </c>
      <c r="I12" s="51">
        <f t="shared" si="2"/>
        <v>16394</v>
      </c>
      <c r="J12" s="51">
        <f t="shared" si="3"/>
        <v>16394</v>
      </c>
    </row>
    <row r="13" spans="1:10" x14ac:dyDescent="0.2">
      <c r="A13" s="534" t="s">
        <v>302</v>
      </c>
      <c r="B13" s="102">
        <v>200</v>
      </c>
      <c r="C13" s="102">
        <v>271</v>
      </c>
      <c r="D13" s="102">
        <v>271</v>
      </c>
      <c r="E13" s="159"/>
      <c r="F13" s="159"/>
      <c r="G13" s="159"/>
      <c r="H13" s="51">
        <f t="shared" si="1"/>
        <v>200</v>
      </c>
      <c r="I13" s="51">
        <f t="shared" si="2"/>
        <v>271</v>
      </c>
      <c r="J13" s="51">
        <f t="shared" si="3"/>
        <v>271</v>
      </c>
    </row>
    <row r="14" spans="1:10" x14ac:dyDescent="0.2">
      <c r="A14" s="534" t="s">
        <v>303</v>
      </c>
      <c r="B14" s="102">
        <v>4000</v>
      </c>
      <c r="C14" s="102">
        <v>5598</v>
      </c>
      <c r="D14" s="102">
        <v>5598</v>
      </c>
      <c r="E14" s="159"/>
      <c r="F14" s="159"/>
      <c r="G14" s="159"/>
      <c r="H14" s="51">
        <f t="shared" si="1"/>
        <v>4000</v>
      </c>
      <c r="I14" s="51">
        <f t="shared" si="2"/>
        <v>5598</v>
      </c>
      <c r="J14" s="51">
        <f t="shared" si="3"/>
        <v>5598</v>
      </c>
    </row>
    <row r="15" spans="1:10" x14ac:dyDescent="0.2">
      <c r="A15" s="534" t="s">
        <v>306</v>
      </c>
      <c r="B15" s="102">
        <v>4500</v>
      </c>
      <c r="C15" s="102">
        <v>66</v>
      </c>
      <c r="D15" s="102">
        <v>66</v>
      </c>
      <c r="E15" s="159"/>
      <c r="F15" s="159"/>
      <c r="G15" s="159"/>
      <c r="H15" s="51">
        <f t="shared" si="1"/>
        <v>4500</v>
      </c>
      <c r="I15" s="51">
        <f t="shared" si="2"/>
        <v>66</v>
      </c>
      <c r="J15" s="51">
        <f t="shared" si="3"/>
        <v>66</v>
      </c>
    </row>
    <row r="16" spans="1:10" x14ac:dyDescent="0.2">
      <c r="A16" s="534" t="s">
        <v>359</v>
      </c>
      <c r="B16" s="102">
        <v>3000</v>
      </c>
      <c r="C16" s="102"/>
      <c r="D16" s="102"/>
      <c r="E16" s="103"/>
      <c r="F16" s="103"/>
      <c r="G16" s="159"/>
      <c r="H16" s="51">
        <f t="shared" si="1"/>
        <v>3000</v>
      </c>
      <c r="I16" s="51">
        <f t="shared" si="2"/>
        <v>0</v>
      </c>
      <c r="J16" s="51">
        <f t="shared" si="3"/>
        <v>0</v>
      </c>
    </row>
    <row r="17" spans="1:10" x14ac:dyDescent="0.2">
      <c r="A17" s="534" t="s">
        <v>360</v>
      </c>
      <c r="B17" s="102">
        <v>500</v>
      </c>
      <c r="C17" s="102">
        <v>923</v>
      </c>
      <c r="D17" s="102">
        <v>923</v>
      </c>
      <c r="E17" s="25">
        <v>500</v>
      </c>
      <c r="F17" s="25"/>
      <c r="G17" s="25"/>
      <c r="H17" s="51">
        <f t="shared" si="1"/>
        <v>1000</v>
      </c>
      <c r="I17" s="51">
        <f t="shared" si="2"/>
        <v>923</v>
      </c>
      <c r="J17" s="51">
        <f t="shared" si="3"/>
        <v>923</v>
      </c>
    </row>
    <row r="18" spans="1:10" x14ac:dyDescent="0.2">
      <c r="A18" s="534" t="s">
        <v>361</v>
      </c>
      <c r="B18" s="25"/>
      <c r="C18" s="25"/>
      <c r="D18" s="25"/>
      <c r="E18" s="25">
        <v>50</v>
      </c>
      <c r="F18" s="695">
        <v>36387</v>
      </c>
      <c r="G18" s="695">
        <v>36387</v>
      </c>
      <c r="H18" s="51">
        <f t="shared" si="1"/>
        <v>50</v>
      </c>
      <c r="I18" s="51">
        <f t="shared" si="2"/>
        <v>36387</v>
      </c>
      <c r="J18" s="51">
        <f t="shared" si="3"/>
        <v>36387</v>
      </c>
    </row>
    <row r="19" spans="1:10" x14ac:dyDescent="0.2">
      <c r="A19" s="534" t="s">
        <v>362</v>
      </c>
      <c r="B19" s="25"/>
      <c r="C19" s="25"/>
      <c r="D19" s="25"/>
      <c r="E19" s="25">
        <v>7500</v>
      </c>
      <c r="F19" s="696"/>
      <c r="G19" s="696"/>
      <c r="H19" s="51">
        <f t="shared" si="1"/>
        <v>7500</v>
      </c>
      <c r="I19" s="51">
        <f t="shared" si="2"/>
        <v>0</v>
      </c>
      <c r="J19" s="51">
        <f t="shared" si="3"/>
        <v>0</v>
      </c>
    </row>
    <row r="20" spans="1:10" x14ac:dyDescent="0.2">
      <c r="A20" s="534" t="s">
        <v>363</v>
      </c>
      <c r="B20" s="25"/>
      <c r="C20" s="25"/>
      <c r="D20" s="25"/>
      <c r="E20" s="25">
        <v>5700</v>
      </c>
      <c r="F20" s="696"/>
      <c r="G20" s="696"/>
      <c r="H20" s="51">
        <f t="shared" si="1"/>
        <v>5700</v>
      </c>
      <c r="I20" s="51">
        <f t="shared" si="2"/>
        <v>0</v>
      </c>
      <c r="J20" s="51">
        <f t="shared" si="3"/>
        <v>0</v>
      </c>
    </row>
    <row r="21" spans="1:10" x14ac:dyDescent="0.2">
      <c r="A21" s="534" t="s">
        <v>364</v>
      </c>
      <c r="B21" s="25"/>
      <c r="C21" s="25"/>
      <c r="D21" s="25"/>
      <c r="E21" s="25">
        <v>11000</v>
      </c>
      <c r="F21" s="696"/>
      <c r="G21" s="696"/>
      <c r="H21" s="51">
        <f t="shared" si="1"/>
        <v>11000</v>
      </c>
      <c r="I21" s="51">
        <f t="shared" si="2"/>
        <v>0</v>
      </c>
      <c r="J21" s="51">
        <f t="shared" si="3"/>
        <v>0</v>
      </c>
    </row>
    <row r="22" spans="1:10" x14ac:dyDescent="0.2">
      <c r="A22" s="534" t="s">
        <v>365</v>
      </c>
      <c r="B22" s="25"/>
      <c r="C22" s="25"/>
      <c r="D22" s="25"/>
      <c r="E22" s="25">
        <v>11000</v>
      </c>
      <c r="F22" s="696"/>
      <c r="G22" s="696"/>
      <c r="H22" s="51">
        <f t="shared" si="1"/>
        <v>11000</v>
      </c>
      <c r="I22" s="51">
        <f t="shared" si="2"/>
        <v>0</v>
      </c>
      <c r="J22" s="51">
        <f t="shared" si="3"/>
        <v>0</v>
      </c>
    </row>
    <row r="23" spans="1:10" x14ac:dyDescent="0.2">
      <c r="A23" s="534" t="s">
        <v>366</v>
      </c>
      <c r="B23" s="25"/>
      <c r="C23" s="25"/>
      <c r="D23" s="25"/>
      <c r="E23" s="25">
        <v>700</v>
      </c>
      <c r="F23" s="696"/>
      <c r="G23" s="696"/>
      <c r="H23" s="51">
        <f t="shared" si="1"/>
        <v>700</v>
      </c>
      <c r="I23" s="51">
        <f t="shared" si="2"/>
        <v>0</v>
      </c>
      <c r="J23" s="51">
        <f t="shared" si="3"/>
        <v>0</v>
      </c>
    </row>
    <row r="24" spans="1:10" x14ac:dyDescent="0.2">
      <c r="A24" s="534" t="s">
        <v>367</v>
      </c>
      <c r="B24" s="25"/>
      <c r="C24" s="25"/>
      <c r="D24" s="25"/>
      <c r="E24" s="25">
        <v>500</v>
      </c>
      <c r="F24" s="697"/>
      <c r="G24" s="697"/>
      <c r="H24" s="51">
        <f t="shared" si="1"/>
        <v>500</v>
      </c>
      <c r="I24" s="51">
        <f t="shared" si="2"/>
        <v>0</v>
      </c>
      <c r="J24" s="51">
        <f t="shared" si="3"/>
        <v>0</v>
      </c>
    </row>
    <row r="25" spans="1:10" x14ac:dyDescent="0.2">
      <c r="A25" s="534" t="s">
        <v>368</v>
      </c>
      <c r="B25" s="25"/>
      <c r="C25" s="25"/>
      <c r="D25" s="25"/>
      <c r="E25" s="25">
        <v>24800</v>
      </c>
      <c r="F25" s="25">
        <v>19279</v>
      </c>
      <c r="G25" s="102">
        <v>19279</v>
      </c>
      <c r="H25" s="51">
        <f t="shared" si="1"/>
        <v>24800</v>
      </c>
      <c r="I25" s="51">
        <f t="shared" si="2"/>
        <v>19279</v>
      </c>
      <c r="J25" s="51">
        <f t="shared" si="3"/>
        <v>19279</v>
      </c>
    </row>
    <row r="26" spans="1:10" x14ac:dyDescent="0.2">
      <c r="A26" s="534" t="s">
        <v>369</v>
      </c>
      <c r="B26" s="159"/>
      <c r="C26" s="159"/>
      <c r="D26" s="159"/>
      <c r="E26" s="25">
        <v>2700</v>
      </c>
      <c r="F26" s="25">
        <v>6126</v>
      </c>
      <c r="G26" s="102">
        <v>6126</v>
      </c>
      <c r="H26" s="51">
        <f t="shared" si="1"/>
        <v>2700</v>
      </c>
      <c r="I26" s="51">
        <f t="shared" si="2"/>
        <v>6126</v>
      </c>
      <c r="J26" s="51">
        <f t="shared" si="3"/>
        <v>6126</v>
      </c>
    </row>
    <row r="27" spans="1:10" x14ac:dyDescent="0.2">
      <c r="A27" s="534" t="s">
        <v>370</v>
      </c>
      <c r="B27" s="159"/>
      <c r="C27" s="159"/>
      <c r="D27" s="159"/>
      <c r="E27" s="25">
        <v>8000</v>
      </c>
      <c r="F27" s="25">
        <v>8977</v>
      </c>
      <c r="G27" s="102">
        <v>8977</v>
      </c>
      <c r="H27" s="51">
        <f t="shared" si="1"/>
        <v>8000</v>
      </c>
      <c r="I27" s="51">
        <f t="shared" si="2"/>
        <v>8977</v>
      </c>
      <c r="J27" s="51">
        <f t="shared" si="3"/>
        <v>8977</v>
      </c>
    </row>
    <row r="28" spans="1:10" x14ac:dyDescent="0.2">
      <c r="A28" s="534" t="s">
        <v>371</v>
      </c>
      <c r="B28" s="159"/>
      <c r="C28" s="159"/>
      <c r="D28" s="159"/>
      <c r="E28" s="25">
        <v>500</v>
      </c>
      <c r="F28" s="25"/>
      <c r="G28" s="25"/>
      <c r="H28" s="51">
        <f t="shared" si="1"/>
        <v>500</v>
      </c>
      <c r="I28" s="51">
        <f t="shared" si="2"/>
        <v>0</v>
      </c>
      <c r="J28" s="51">
        <f t="shared" si="3"/>
        <v>0</v>
      </c>
    </row>
    <row r="29" spans="1:10" x14ac:dyDescent="0.2">
      <c r="A29" s="112" t="s">
        <v>17</v>
      </c>
      <c r="B29" s="51">
        <f>SUM(B6:B28)</f>
        <v>60650</v>
      </c>
      <c r="C29" s="51">
        <f t="shared" ref="C29:D29" si="4">SUM(C6:C28)</f>
        <v>53408</v>
      </c>
      <c r="D29" s="51">
        <f t="shared" si="4"/>
        <v>53408</v>
      </c>
      <c r="E29" s="51">
        <f t="shared" ref="E29:H29" si="5">SUM(E6:E28)</f>
        <v>72950</v>
      </c>
      <c r="F29" s="51">
        <f t="shared" si="5"/>
        <v>70769</v>
      </c>
      <c r="G29" s="51">
        <f t="shared" si="5"/>
        <v>70769</v>
      </c>
      <c r="H29" s="51">
        <f t="shared" si="5"/>
        <v>133600</v>
      </c>
      <c r="I29" s="51">
        <f t="shared" ref="I29:J29" si="6">SUM(I6:I28)</f>
        <v>124177</v>
      </c>
      <c r="J29" s="51">
        <f t="shared" si="6"/>
        <v>124177</v>
      </c>
    </row>
    <row r="30" spans="1:10" x14ac:dyDescent="0.2">
      <c r="A30" s="114"/>
      <c r="B30" s="115"/>
      <c r="C30" s="115"/>
      <c r="D30" s="115"/>
      <c r="E30" s="115"/>
    </row>
    <row r="31" spans="1:10" x14ac:dyDescent="0.2">
      <c r="A31" s="108"/>
      <c r="B31" s="108"/>
      <c r="C31" s="108"/>
      <c r="D31" s="544" t="s">
        <v>1825</v>
      </c>
      <c r="E31" s="162"/>
      <c r="G31" s="163"/>
    </row>
    <row r="32" spans="1:10" x14ac:dyDescent="0.2">
      <c r="A32" s="677" t="s">
        <v>1816</v>
      </c>
      <c r="B32" s="677"/>
      <c r="C32" s="677"/>
      <c r="D32" s="677"/>
      <c r="E32" s="162"/>
      <c r="G32" s="163"/>
    </row>
    <row r="33" spans="1:7" x14ac:dyDescent="0.2">
      <c r="A33" s="108"/>
      <c r="B33" s="108"/>
      <c r="C33" s="491"/>
      <c r="D33" s="491" t="s">
        <v>0</v>
      </c>
      <c r="E33" s="162"/>
      <c r="G33" s="163"/>
    </row>
    <row r="34" spans="1:7" x14ac:dyDescent="0.2">
      <c r="A34" s="529" t="s">
        <v>50</v>
      </c>
      <c r="B34" s="692" t="s">
        <v>185</v>
      </c>
      <c r="C34" s="693"/>
      <c r="D34" s="694"/>
      <c r="E34" s="162"/>
      <c r="G34" s="163"/>
    </row>
    <row r="35" spans="1:7" ht="33.75" x14ac:dyDescent="0.2">
      <c r="A35" s="29"/>
      <c r="B35" s="157" t="s">
        <v>557</v>
      </c>
      <c r="C35" s="157" t="s">
        <v>1304</v>
      </c>
      <c r="D35" s="157" t="s">
        <v>1311</v>
      </c>
      <c r="E35" s="162"/>
      <c r="G35" s="163"/>
    </row>
    <row r="36" spans="1:7" x14ac:dyDescent="0.2">
      <c r="A36" s="29" t="s">
        <v>396</v>
      </c>
      <c r="B36" s="29"/>
      <c r="C36" s="585">
        <v>5489</v>
      </c>
      <c r="D36" s="585">
        <v>5489</v>
      </c>
      <c r="E36" s="162"/>
      <c r="G36" s="163"/>
    </row>
    <row r="37" spans="1:7" x14ac:dyDescent="0.2">
      <c r="A37" s="29" t="s">
        <v>324</v>
      </c>
      <c r="B37" s="29"/>
      <c r="C37" s="585">
        <v>2647</v>
      </c>
      <c r="D37" s="585">
        <v>2647</v>
      </c>
      <c r="E37" s="162"/>
      <c r="G37" s="163"/>
    </row>
    <row r="38" spans="1:7" x14ac:dyDescent="0.2">
      <c r="A38" s="29" t="s">
        <v>1817</v>
      </c>
      <c r="B38" s="29"/>
      <c r="C38" s="585">
        <v>2850</v>
      </c>
      <c r="D38" s="585">
        <v>2850</v>
      </c>
      <c r="E38" s="162"/>
      <c r="G38" s="163"/>
    </row>
    <row r="39" spans="1:7" x14ac:dyDescent="0.2">
      <c r="A39" s="29" t="s">
        <v>400</v>
      </c>
      <c r="B39" s="29"/>
      <c r="C39" s="585">
        <v>1000</v>
      </c>
      <c r="D39" s="585">
        <v>1000</v>
      </c>
      <c r="E39" s="162"/>
      <c r="G39" s="163"/>
    </row>
    <row r="40" spans="1:7" x14ac:dyDescent="0.2">
      <c r="A40" s="112" t="s">
        <v>42</v>
      </c>
      <c r="B40" s="112"/>
      <c r="C40" s="586">
        <f>SUM(C36:C39)</f>
        <v>11986</v>
      </c>
      <c r="D40" s="586">
        <f>SUM(D36:D39)</f>
        <v>11986</v>
      </c>
      <c r="E40" s="162"/>
      <c r="G40" s="163"/>
    </row>
    <row r="41" spans="1:7" x14ac:dyDescent="0.2">
      <c r="A41" s="114"/>
      <c r="B41" s="162"/>
      <c r="C41" s="162"/>
      <c r="D41" s="163"/>
      <c r="E41" s="162"/>
      <c r="G41" s="163"/>
    </row>
    <row r="42" spans="1:7" x14ac:dyDescent="0.2">
      <c r="A42" s="108"/>
      <c r="B42" s="108"/>
      <c r="C42" s="108"/>
      <c r="D42" s="544" t="s">
        <v>1826</v>
      </c>
      <c r="E42" s="108"/>
      <c r="G42" s="117"/>
    </row>
    <row r="43" spans="1:7" x14ac:dyDescent="0.2">
      <c r="A43" s="677" t="s">
        <v>190</v>
      </c>
      <c r="B43" s="677"/>
      <c r="C43" s="677"/>
      <c r="D43" s="677"/>
      <c r="E43" s="221"/>
    </row>
    <row r="44" spans="1:7" x14ac:dyDescent="0.2">
      <c r="A44" s="108"/>
      <c r="B44" s="108"/>
      <c r="C44" s="491"/>
      <c r="D44" s="491" t="s">
        <v>0</v>
      </c>
    </row>
    <row r="45" spans="1:7" x14ac:dyDescent="0.2">
      <c r="A45" s="529" t="s">
        <v>50</v>
      </c>
      <c r="B45" s="692" t="s">
        <v>185</v>
      </c>
      <c r="C45" s="693"/>
      <c r="D45" s="694"/>
    </row>
    <row r="46" spans="1:7" ht="25.5" customHeight="1" x14ac:dyDescent="0.2">
      <c r="A46" s="29"/>
      <c r="B46" s="157" t="s">
        <v>557</v>
      </c>
      <c r="C46" s="157" t="s">
        <v>1304</v>
      </c>
      <c r="D46" s="157" t="s">
        <v>1311</v>
      </c>
    </row>
    <row r="47" spans="1:7" x14ac:dyDescent="0.2">
      <c r="A47" s="29"/>
      <c r="B47" s="29"/>
      <c r="C47" s="29"/>
      <c r="D47" s="29"/>
    </row>
    <row r="48" spans="1:7" x14ac:dyDescent="0.2">
      <c r="A48" s="112" t="s">
        <v>42</v>
      </c>
      <c r="B48" s="112"/>
      <c r="C48" s="29"/>
      <c r="D48" s="29"/>
    </row>
    <row r="49" spans="1:5" x14ac:dyDescent="0.2">
      <c r="A49" s="108"/>
      <c r="B49" s="108"/>
      <c r="C49" s="108"/>
      <c r="D49" s="108"/>
      <c r="E49" s="108"/>
    </row>
    <row r="50" spans="1:5" x14ac:dyDescent="0.2">
      <c r="A50" s="108"/>
      <c r="B50" s="108"/>
      <c r="C50" s="108"/>
      <c r="D50" s="544" t="s">
        <v>1813</v>
      </c>
      <c r="E50" s="108"/>
    </row>
    <row r="51" spans="1:5" x14ac:dyDescent="0.2">
      <c r="A51" s="677" t="s">
        <v>189</v>
      </c>
      <c r="B51" s="677"/>
      <c r="C51" s="677"/>
      <c r="D51" s="677"/>
      <c r="E51" s="221"/>
    </row>
    <row r="52" spans="1:5" x14ac:dyDescent="0.2">
      <c r="A52" s="164"/>
      <c r="B52" s="164"/>
      <c r="C52" s="164"/>
      <c r="D52" s="491" t="s">
        <v>0</v>
      </c>
      <c r="E52" s="164"/>
    </row>
    <row r="53" spans="1:5" x14ac:dyDescent="0.2">
      <c r="A53" s="529" t="s">
        <v>50</v>
      </c>
      <c r="B53" s="692" t="s">
        <v>185</v>
      </c>
      <c r="C53" s="693"/>
      <c r="D53" s="694"/>
    </row>
    <row r="54" spans="1:5" ht="33.75" x14ac:dyDescent="0.2">
      <c r="A54" s="29"/>
      <c r="B54" s="157" t="s">
        <v>557</v>
      </c>
      <c r="C54" s="157" t="s">
        <v>1304</v>
      </c>
      <c r="D54" s="157" t="s">
        <v>1311</v>
      </c>
    </row>
    <row r="55" spans="1:5" x14ac:dyDescent="0.2">
      <c r="A55" s="29"/>
      <c r="B55" s="29"/>
      <c r="C55" s="29"/>
      <c r="D55" s="29"/>
    </row>
    <row r="56" spans="1:5" x14ac:dyDescent="0.2">
      <c r="A56" s="112" t="s">
        <v>42</v>
      </c>
      <c r="B56" s="112"/>
      <c r="C56" s="29"/>
      <c r="D56" s="29"/>
    </row>
    <row r="57" spans="1:5" x14ac:dyDescent="0.2">
      <c r="A57" s="114"/>
      <c r="B57" s="114"/>
      <c r="C57" s="164"/>
      <c r="D57" s="164"/>
      <c r="E57" s="164"/>
    </row>
    <row r="58" spans="1:5" x14ac:dyDescent="0.2">
      <c r="A58" s="108"/>
      <c r="B58" s="108"/>
      <c r="C58" s="108"/>
      <c r="D58" s="544" t="s">
        <v>1814</v>
      </c>
      <c r="E58" s="108"/>
    </row>
    <row r="59" spans="1:5" x14ac:dyDescent="0.2">
      <c r="A59" s="677" t="s">
        <v>188</v>
      </c>
      <c r="B59" s="677"/>
      <c r="C59" s="677"/>
      <c r="D59" s="677"/>
      <c r="E59" s="221"/>
    </row>
    <row r="60" spans="1:5" x14ac:dyDescent="0.2">
      <c r="A60" s="164"/>
      <c r="B60" s="164"/>
      <c r="C60" s="164"/>
      <c r="D60" s="491" t="s">
        <v>0</v>
      </c>
      <c r="E60" s="164"/>
    </row>
    <row r="61" spans="1:5" x14ac:dyDescent="0.2">
      <c r="A61" s="529" t="s">
        <v>50</v>
      </c>
      <c r="B61" s="692" t="s">
        <v>185</v>
      </c>
      <c r="C61" s="693"/>
      <c r="D61" s="694"/>
    </row>
    <row r="62" spans="1:5" ht="39" customHeight="1" x14ac:dyDescent="0.2">
      <c r="A62" s="529"/>
      <c r="B62" s="157" t="s">
        <v>557</v>
      </c>
      <c r="C62" s="157" t="s">
        <v>1304</v>
      </c>
      <c r="D62" s="157" t="s">
        <v>1311</v>
      </c>
    </row>
    <row r="63" spans="1:5" ht="22.5" x14ac:dyDescent="0.2">
      <c r="A63" s="15" t="s">
        <v>1728</v>
      </c>
      <c r="B63" s="25">
        <v>101727</v>
      </c>
      <c r="C63" s="25">
        <v>176772</v>
      </c>
      <c r="D63" s="25">
        <v>176772</v>
      </c>
      <c r="E63" s="117"/>
    </row>
    <row r="64" spans="1:5" ht="22.5" x14ac:dyDescent="0.2">
      <c r="A64" s="15" t="s">
        <v>374</v>
      </c>
      <c r="B64" s="25">
        <v>50000</v>
      </c>
      <c r="C64" s="25">
        <v>52500</v>
      </c>
      <c r="D64" s="25">
        <v>52500</v>
      </c>
    </row>
    <row r="65" spans="1:6" x14ac:dyDescent="0.2">
      <c r="A65" s="29"/>
      <c r="B65" s="29"/>
      <c r="C65" s="29"/>
      <c r="D65" s="25"/>
    </row>
    <row r="66" spans="1:6" x14ac:dyDescent="0.2">
      <c r="A66" s="29"/>
      <c r="B66" s="29"/>
      <c r="C66" s="29"/>
      <c r="D66" s="29"/>
    </row>
    <row r="67" spans="1:6" x14ac:dyDescent="0.2">
      <c r="A67" s="112" t="s">
        <v>42</v>
      </c>
      <c r="B67" s="51">
        <f>SUM(B63:B66)</f>
        <v>151727</v>
      </c>
      <c r="C67" s="51">
        <f t="shared" ref="C67:D67" si="7">SUM(C63:C66)</f>
        <v>229272</v>
      </c>
      <c r="D67" s="51">
        <f t="shared" si="7"/>
        <v>229272</v>
      </c>
      <c r="E67" s="117"/>
    </row>
    <row r="68" spans="1:6" x14ac:dyDescent="0.2">
      <c r="A68" s="108"/>
      <c r="B68" s="108"/>
      <c r="C68" s="108"/>
      <c r="D68" s="108"/>
      <c r="E68" s="108"/>
    </row>
    <row r="69" spans="1:6" x14ac:dyDescent="0.2">
      <c r="A69" s="108"/>
      <c r="B69" s="108"/>
      <c r="C69" s="108"/>
      <c r="D69" s="544" t="s">
        <v>1815</v>
      </c>
      <c r="E69" s="108"/>
      <c r="F69" s="117"/>
    </row>
    <row r="70" spans="1:6" x14ac:dyDescent="0.2">
      <c r="A70" s="677" t="s">
        <v>187</v>
      </c>
      <c r="B70" s="677"/>
      <c r="C70" s="677"/>
      <c r="D70" s="677"/>
      <c r="E70" s="221"/>
    </row>
    <row r="71" spans="1:6" x14ac:dyDescent="0.2">
      <c r="A71" s="164"/>
      <c r="B71" s="164"/>
      <c r="C71" s="164"/>
      <c r="D71" s="491" t="s">
        <v>0</v>
      </c>
      <c r="E71" s="164"/>
    </row>
    <row r="72" spans="1:6" x14ac:dyDescent="0.2">
      <c r="A72" s="529" t="s">
        <v>50</v>
      </c>
      <c r="B72" s="692" t="s">
        <v>185</v>
      </c>
      <c r="C72" s="693"/>
      <c r="D72" s="694"/>
    </row>
    <row r="73" spans="1:6" ht="33.75" x14ac:dyDescent="0.2">
      <c r="A73" s="29"/>
      <c r="B73" s="157" t="s">
        <v>557</v>
      </c>
      <c r="C73" s="157" t="s">
        <v>1304</v>
      </c>
      <c r="D73" s="157" t="s">
        <v>1311</v>
      </c>
    </row>
    <row r="74" spans="1:6" x14ac:dyDescent="0.2">
      <c r="A74" s="29"/>
      <c r="B74" s="29"/>
      <c r="C74" s="29"/>
      <c r="D74" s="29"/>
    </row>
    <row r="75" spans="1:6" x14ac:dyDescent="0.2">
      <c r="A75" s="112" t="s">
        <v>42</v>
      </c>
      <c r="B75" s="112"/>
      <c r="C75" s="29"/>
      <c r="D75" s="29"/>
    </row>
    <row r="77" spans="1:6" x14ac:dyDescent="0.2">
      <c r="A77" s="108"/>
      <c r="B77" s="108"/>
      <c r="C77" s="108"/>
      <c r="D77" s="108" t="s">
        <v>1827</v>
      </c>
      <c r="E77" s="108"/>
    </row>
    <row r="78" spans="1:6" x14ac:dyDescent="0.2">
      <c r="A78" s="677" t="s">
        <v>186</v>
      </c>
      <c r="B78" s="677"/>
      <c r="C78" s="677"/>
      <c r="D78" s="677"/>
      <c r="E78" s="221"/>
    </row>
    <row r="79" spans="1:6" x14ac:dyDescent="0.2">
      <c r="A79" s="491"/>
      <c r="B79" s="491"/>
      <c r="C79" s="491"/>
      <c r="D79" s="491" t="s">
        <v>0</v>
      </c>
      <c r="E79" s="491"/>
    </row>
    <row r="80" spans="1:6" ht="16.5" customHeight="1" x14ac:dyDescent="0.2">
      <c r="A80" s="529" t="s">
        <v>50</v>
      </c>
      <c r="B80" s="692" t="s">
        <v>185</v>
      </c>
      <c r="C80" s="693"/>
      <c r="D80" s="694"/>
    </row>
    <row r="81" spans="1:4" ht="33.75" x14ac:dyDescent="0.2">
      <c r="A81" s="529"/>
      <c r="B81" s="157" t="s">
        <v>557</v>
      </c>
      <c r="C81" s="157" t="s">
        <v>1304</v>
      </c>
      <c r="D81" s="157" t="s">
        <v>1311</v>
      </c>
    </row>
    <row r="82" spans="1:4" x14ac:dyDescent="0.2">
      <c r="A82" s="15" t="s">
        <v>307</v>
      </c>
      <c r="B82" s="25">
        <v>1500</v>
      </c>
      <c r="C82" s="102">
        <v>2500</v>
      </c>
      <c r="D82" s="102">
        <v>2500</v>
      </c>
    </row>
    <row r="83" spans="1:4" x14ac:dyDescent="0.2">
      <c r="A83" s="15" t="s">
        <v>308</v>
      </c>
      <c r="B83" s="25">
        <v>2500</v>
      </c>
      <c r="C83" s="102">
        <v>2500</v>
      </c>
      <c r="D83" s="102">
        <v>2500</v>
      </c>
    </row>
    <row r="84" spans="1:4" x14ac:dyDescent="0.2">
      <c r="A84" s="15" t="s">
        <v>310</v>
      </c>
      <c r="B84" s="25">
        <v>35000</v>
      </c>
      <c r="C84" s="102">
        <v>47643</v>
      </c>
      <c r="D84" s="102">
        <v>47642</v>
      </c>
    </row>
    <row r="85" spans="1:4" x14ac:dyDescent="0.2">
      <c r="A85" s="15" t="s">
        <v>311</v>
      </c>
      <c r="B85" s="25">
        <v>5000</v>
      </c>
      <c r="C85" s="104">
        <v>2500</v>
      </c>
      <c r="D85" s="104">
        <v>2500</v>
      </c>
    </row>
    <row r="86" spans="1:4" ht="22.5" x14ac:dyDescent="0.2">
      <c r="A86" s="15" t="s">
        <v>312</v>
      </c>
      <c r="B86" s="25">
        <v>15000</v>
      </c>
      <c r="C86" s="102">
        <v>15668</v>
      </c>
      <c r="D86" s="102">
        <v>15668</v>
      </c>
    </row>
    <row r="87" spans="1:4" x14ac:dyDescent="0.2">
      <c r="A87" s="15" t="s">
        <v>317</v>
      </c>
      <c r="B87" s="25">
        <f>1500+1500</f>
        <v>3000</v>
      </c>
      <c r="C87" s="102">
        <v>3000</v>
      </c>
      <c r="D87" s="102">
        <v>3000</v>
      </c>
    </row>
    <row r="88" spans="1:4" x14ac:dyDescent="0.2">
      <c r="A88" s="15" t="s">
        <v>318</v>
      </c>
      <c r="B88" s="25">
        <v>2000</v>
      </c>
      <c r="C88" s="102">
        <v>2000</v>
      </c>
      <c r="D88" s="102">
        <v>2000</v>
      </c>
    </row>
    <row r="89" spans="1:4" x14ac:dyDescent="0.2">
      <c r="A89" s="15" t="s">
        <v>319</v>
      </c>
      <c r="B89" s="25">
        <v>11000</v>
      </c>
      <c r="C89" s="102">
        <v>1545</v>
      </c>
      <c r="D89" s="102">
        <v>1545</v>
      </c>
    </row>
    <row r="90" spans="1:4" ht="22.5" x14ac:dyDescent="0.2">
      <c r="A90" s="15" t="s">
        <v>372</v>
      </c>
      <c r="B90" s="25">
        <v>3000</v>
      </c>
      <c r="C90" s="104">
        <v>0</v>
      </c>
      <c r="D90" s="104">
        <v>0</v>
      </c>
    </row>
    <row r="91" spans="1:4" ht="22.5" x14ac:dyDescent="0.2">
      <c r="A91" s="15" t="s">
        <v>373</v>
      </c>
      <c r="B91" s="25">
        <v>2000</v>
      </c>
      <c r="C91" s="104">
        <v>0</v>
      </c>
      <c r="D91" s="104">
        <v>0</v>
      </c>
    </row>
    <row r="92" spans="1:4" ht="22.5" x14ac:dyDescent="0.2">
      <c r="A92" s="15" t="s">
        <v>1299</v>
      </c>
      <c r="B92" s="25"/>
      <c r="C92" s="104">
        <v>944</v>
      </c>
      <c r="D92" s="104">
        <v>944</v>
      </c>
    </row>
    <row r="93" spans="1:4" x14ac:dyDescent="0.2">
      <c r="A93" s="15" t="s">
        <v>309</v>
      </c>
      <c r="B93" s="25">
        <v>1200</v>
      </c>
      <c r="C93" s="102">
        <v>2173</v>
      </c>
      <c r="D93" s="102">
        <v>2172</v>
      </c>
    </row>
    <row r="94" spans="1:4" ht="22.5" x14ac:dyDescent="0.2">
      <c r="A94" s="15" t="s">
        <v>313</v>
      </c>
      <c r="B94" s="25">
        <v>150</v>
      </c>
      <c r="C94" s="104">
        <v>150</v>
      </c>
      <c r="D94" s="104">
        <v>150</v>
      </c>
    </row>
    <row r="95" spans="1:4" ht="22.5" x14ac:dyDescent="0.2">
      <c r="A95" s="15" t="s">
        <v>314</v>
      </c>
      <c r="B95" s="25">
        <v>150</v>
      </c>
      <c r="C95" s="104">
        <v>150</v>
      </c>
      <c r="D95" s="104">
        <v>150</v>
      </c>
    </row>
    <row r="96" spans="1:4" x14ac:dyDescent="0.2">
      <c r="A96" s="15" t="s">
        <v>315</v>
      </c>
      <c r="B96" s="25">
        <v>200</v>
      </c>
      <c r="C96" s="104">
        <v>200</v>
      </c>
      <c r="D96" s="104">
        <v>200</v>
      </c>
    </row>
    <row r="97" spans="1:7" ht="22.5" x14ac:dyDescent="0.2">
      <c r="A97" s="15" t="s">
        <v>316</v>
      </c>
      <c r="B97" s="25">
        <v>1000</v>
      </c>
      <c r="C97" s="104">
        <v>1000</v>
      </c>
      <c r="D97" s="104">
        <v>1000</v>
      </c>
    </row>
    <row r="98" spans="1:7" x14ac:dyDescent="0.2">
      <c r="A98" s="15" t="s">
        <v>320</v>
      </c>
      <c r="B98" s="25">
        <v>500</v>
      </c>
      <c r="C98" s="104">
        <v>180</v>
      </c>
      <c r="D98" s="104">
        <v>180</v>
      </c>
    </row>
    <row r="99" spans="1:7" x14ac:dyDescent="0.2">
      <c r="A99" s="15" t="s">
        <v>321</v>
      </c>
      <c r="B99" s="25">
        <v>6000</v>
      </c>
      <c r="C99" s="104">
        <v>2588</v>
      </c>
      <c r="D99" s="104">
        <v>2588</v>
      </c>
    </row>
    <row r="100" spans="1:7" x14ac:dyDescent="0.2">
      <c r="A100" s="112" t="s">
        <v>42</v>
      </c>
      <c r="B100" s="51">
        <f>SUM(B82:B99)</f>
        <v>89200</v>
      </c>
      <c r="C100" s="51">
        <f t="shared" ref="C100" si="8">SUM(C82:C99)</f>
        <v>84741</v>
      </c>
      <c r="D100" s="51">
        <f>SUM(D82:D99)</f>
        <v>84739</v>
      </c>
    </row>
    <row r="101" spans="1:7" x14ac:dyDescent="0.2">
      <c r="E101" s="117"/>
      <c r="F101" s="117"/>
      <c r="G101" s="117"/>
    </row>
    <row r="102" spans="1:7" x14ac:dyDescent="0.2">
      <c r="D102" s="108" t="s">
        <v>1828</v>
      </c>
    </row>
    <row r="103" spans="1:7" x14ac:dyDescent="0.2">
      <c r="A103" s="677" t="s">
        <v>401</v>
      </c>
      <c r="B103" s="677"/>
      <c r="C103" s="677"/>
      <c r="D103" s="677"/>
      <c r="E103" s="221"/>
    </row>
    <row r="104" spans="1:7" x14ac:dyDescent="0.2">
      <c r="D104" s="491" t="s">
        <v>0</v>
      </c>
    </row>
    <row r="105" spans="1:7" x14ac:dyDescent="0.2">
      <c r="A105" s="529" t="s">
        <v>395</v>
      </c>
      <c r="B105" s="692" t="s">
        <v>185</v>
      </c>
      <c r="C105" s="693"/>
      <c r="D105" s="694"/>
    </row>
    <row r="106" spans="1:7" ht="33.75" x14ac:dyDescent="0.2">
      <c r="A106" s="529"/>
      <c r="B106" s="157" t="s">
        <v>557</v>
      </c>
      <c r="C106" s="157" t="s">
        <v>1304</v>
      </c>
      <c r="D106" s="157" t="s">
        <v>1311</v>
      </c>
    </row>
    <row r="107" spans="1:7" x14ac:dyDescent="0.2">
      <c r="A107" s="165" t="s">
        <v>396</v>
      </c>
      <c r="B107" s="25">
        <f>448206+6190</f>
        <v>454396</v>
      </c>
      <c r="C107" s="25">
        <v>497288</v>
      </c>
      <c r="D107" s="25">
        <v>497288</v>
      </c>
    </row>
    <row r="108" spans="1:7" x14ac:dyDescent="0.2">
      <c r="A108" s="165" t="s">
        <v>299</v>
      </c>
      <c r="B108" s="25">
        <f>448470+814</f>
        <v>449284</v>
      </c>
      <c r="C108" s="25">
        <v>458554</v>
      </c>
      <c r="D108" s="25">
        <v>458554</v>
      </c>
    </row>
    <row r="109" spans="1:7" x14ac:dyDescent="0.2">
      <c r="A109" s="165" t="s">
        <v>397</v>
      </c>
      <c r="B109" s="25">
        <v>95637</v>
      </c>
      <c r="C109" s="25">
        <v>97887</v>
      </c>
      <c r="D109" s="25">
        <v>97887</v>
      </c>
    </row>
    <row r="110" spans="1:7" x14ac:dyDescent="0.2">
      <c r="A110" s="165" t="s">
        <v>398</v>
      </c>
      <c r="B110" s="25">
        <v>545815</v>
      </c>
      <c r="C110" s="25">
        <v>568923</v>
      </c>
      <c r="D110" s="25">
        <v>568923</v>
      </c>
    </row>
    <row r="111" spans="1:7" x14ac:dyDescent="0.2">
      <c r="A111" s="165" t="s">
        <v>399</v>
      </c>
      <c r="B111" s="25">
        <v>14439</v>
      </c>
      <c r="C111" s="25">
        <v>14373</v>
      </c>
      <c r="D111" s="25">
        <v>14373</v>
      </c>
    </row>
    <row r="112" spans="1:7" x14ac:dyDescent="0.2">
      <c r="A112" s="165" t="s">
        <v>400</v>
      </c>
      <c r="B112" s="25">
        <v>93332</v>
      </c>
      <c r="C112" s="25">
        <v>99286</v>
      </c>
      <c r="D112" s="25">
        <v>99286</v>
      </c>
    </row>
    <row r="113" spans="1:5" x14ac:dyDescent="0.2">
      <c r="A113" s="165" t="s">
        <v>328</v>
      </c>
      <c r="B113" s="25">
        <v>80192</v>
      </c>
      <c r="C113" s="25">
        <v>95978</v>
      </c>
      <c r="D113" s="25">
        <v>95978</v>
      </c>
    </row>
    <row r="114" spans="1:5" x14ac:dyDescent="0.2">
      <c r="A114" s="112" t="s">
        <v>17</v>
      </c>
      <c r="B114" s="51">
        <f>SUM(B107:B113)</f>
        <v>1733095</v>
      </c>
      <c r="C114" s="51">
        <f>SUM(C107:C113)</f>
        <v>1832289</v>
      </c>
      <c r="D114" s="51">
        <f>SUM(D107:D113)</f>
        <v>1832289</v>
      </c>
    </row>
    <row r="116" spans="1:5" x14ac:dyDescent="0.2">
      <c r="A116" s="497"/>
      <c r="B116" s="497"/>
      <c r="D116" s="544" t="s">
        <v>1829</v>
      </c>
      <c r="E116" s="497"/>
    </row>
    <row r="117" spans="1:5" x14ac:dyDescent="0.2">
      <c r="A117" s="677" t="s">
        <v>402</v>
      </c>
      <c r="B117" s="677"/>
      <c r="C117" s="677"/>
      <c r="D117" s="677"/>
      <c r="E117" s="221"/>
    </row>
    <row r="118" spans="1:5" x14ac:dyDescent="0.2">
      <c r="D118" s="491" t="s">
        <v>0</v>
      </c>
    </row>
    <row r="119" spans="1:5" x14ac:dyDescent="0.2">
      <c r="A119" s="529" t="s">
        <v>395</v>
      </c>
      <c r="B119" s="692" t="s">
        <v>185</v>
      </c>
      <c r="C119" s="693"/>
      <c r="D119" s="694"/>
    </row>
    <row r="120" spans="1:5" ht="33.75" x14ac:dyDescent="0.2">
      <c r="A120" s="529"/>
      <c r="B120" s="157" t="s">
        <v>557</v>
      </c>
      <c r="C120" s="157" t="s">
        <v>1304</v>
      </c>
      <c r="D120" s="157" t="s">
        <v>1311</v>
      </c>
    </row>
    <row r="121" spans="1:5" x14ac:dyDescent="0.2">
      <c r="A121" s="165" t="s">
        <v>396</v>
      </c>
      <c r="B121" s="25">
        <v>33747</v>
      </c>
      <c r="C121" s="25">
        <v>52666</v>
      </c>
      <c r="D121" s="25">
        <v>52666</v>
      </c>
    </row>
    <row r="122" spans="1:5" x14ac:dyDescent="0.2">
      <c r="A122" s="165" t="s">
        <v>299</v>
      </c>
      <c r="B122" s="25">
        <v>0</v>
      </c>
      <c r="C122" s="25">
        <v>959</v>
      </c>
      <c r="D122" s="25">
        <v>959</v>
      </c>
    </row>
    <row r="123" spans="1:5" x14ac:dyDescent="0.2">
      <c r="A123" s="165" t="s">
        <v>397</v>
      </c>
      <c r="B123" s="25">
        <v>1643</v>
      </c>
      <c r="C123" s="25">
        <v>1320</v>
      </c>
      <c r="D123" s="25">
        <v>1320</v>
      </c>
    </row>
    <row r="124" spans="1:5" x14ac:dyDescent="0.2">
      <c r="A124" s="165" t="s">
        <v>398</v>
      </c>
      <c r="B124" s="25">
        <v>1000</v>
      </c>
      <c r="C124" s="25">
        <v>2349</v>
      </c>
      <c r="D124" s="25">
        <v>2349</v>
      </c>
    </row>
    <row r="125" spans="1:5" x14ac:dyDescent="0.2">
      <c r="A125" s="165" t="s">
        <v>399</v>
      </c>
      <c r="B125" s="25">
        <v>293</v>
      </c>
      <c r="C125" s="25">
        <v>2051</v>
      </c>
      <c r="D125" s="25">
        <v>2051</v>
      </c>
    </row>
    <row r="126" spans="1:5" x14ac:dyDescent="0.2">
      <c r="A126" s="165" t="s">
        <v>400</v>
      </c>
      <c r="B126" s="25">
        <v>1207</v>
      </c>
      <c r="C126" s="25">
        <v>2823</v>
      </c>
      <c r="D126" s="25">
        <v>2823</v>
      </c>
    </row>
    <row r="127" spans="1:5" x14ac:dyDescent="0.2">
      <c r="A127" s="165" t="s">
        <v>328</v>
      </c>
      <c r="B127" s="25">
        <v>0</v>
      </c>
      <c r="C127" s="25">
        <v>0</v>
      </c>
      <c r="D127" s="25">
        <v>0</v>
      </c>
    </row>
    <row r="128" spans="1:5" x14ac:dyDescent="0.2">
      <c r="A128" s="112" t="s">
        <v>17</v>
      </c>
      <c r="B128" s="51">
        <f>SUM(B121:B127)</f>
        <v>37890</v>
      </c>
      <c r="C128" s="51">
        <f>SUM(C121:C127)</f>
        <v>62168</v>
      </c>
      <c r="D128" s="51">
        <f>SUM(D121:D127)</f>
        <v>62168</v>
      </c>
    </row>
    <row r="130" spans="3:4" x14ac:dyDescent="0.2">
      <c r="C130" s="117"/>
      <c r="D130" s="117"/>
    </row>
  </sheetData>
  <mergeCells count="22">
    <mergeCell ref="G18:G24"/>
    <mergeCell ref="A59:D59"/>
    <mergeCell ref="A70:D70"/>
    <mergeCell ref="A78:D78"/>
    <mergeCell ref="A32:D32"/>
    <mergeCell ref="B34:D34"/>
    <mergeCell ref="A2:J2"/>
    <mergeCell ref="A43:D43"/>
    <mergeCell ref="A51:D51"/>
    <mergeCell ref="B119:D119"/>
    <mergeCell ref="H4:J4"/>
    <mergeCell ref="B45:D45"/>
    <mergeCell ref="B53:D53"/>
    <mergeCell ref="B61:D61"/>
    <mergeCell ref="B72:D72"/>
    <mergeCell ref="A103:D103"/>
    <mergeCell ref="A117:D117"/>
    <mergeCell ref="B105:D105"/>
    <mergeCell ref="B4:D4"/>
    <mergeCell ref="E4:G4"/>
    <mergeCell ref="B80:D80"/>
    <mergeCell ref="F18:F24"/>
  </mergeCells>
  <printOptions horizontalCentered="1"/>
  <pageMargins left="0.23622047244094491" right="0.15748031496062992" top="0.35433070866141736" bottom="0.31496062992125984" header="0.27559055118110237" footer="0.19685039370078741"/>
  <pageSetup paperSize="9" scale="70" orientation="portrait" r:id="rId1"/>
  <headerFooter scaleWithDoc="0">
    <oddHeader>&amp;LVeresegyház Város Önkormányzat</oddHeader>
  </headerFooter>
  <rowBreaks count="1" manualBreakCount="1">
    <brk id="75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M515"/>
  <sheetViews>
    <sheetView view="pageBreakPreview" zoomScaleSheetLayoutView="100" zoomScalePageLayoutView="85" workbookViewId="0">
      <pane xSplit="2" ySplit="3" topLeftCell="C444" activePane="bottomRight" state="frozen"/>
      <selection activeCell="AD24" sqref="AD24"/>
      <selection pane="topRight" activeCell="AD24" sqref="AD24"/>
      <selection pane="bottomLeft" activeCell="AD24" sqref="AD24"/>
      <selection pane="bottomRight" activeCell="CD456" sqref="CD456"/>
    </sheetView>
  </sheetViews>
  <sheetFormatPr defaultRowHeight="11.25" outlineLevelCol="3" x14ac:dyDescent="0.2"/>
  <cols>
    <col min="1" max="1" width="11.7109375" style="359" customWidth="1"/>
    <col min="2" max="2" width="10.42578125" style="560" hidden="1" customWidth="1" outlineLevel="2"/>
    <col min="3" max="3" width="11.28515625" style="301" customWidth="1" collapsed="1"/>
    <col min="4" max="4" width="10.42578125" style="313" customWidth="1" outlineLevel="1"/>
    <col min="5" max="5" width="11.140625" style="360" customWidth="1"/>
    <col min="6" max="6" width="42.28515625" style="361" customWidth="1"/>
    <col min="7" max="7" width="12.5703125" style="313" hidden="1" customWidth="1" outlineLevel="2"/>
    <col min="8" max="8" width="10.28515625" style="313" hidden="1" customWidth="1" outlineLevel="2"/>
    <col min="9" max="9" width="11" style="313" customWidth="1" collapsed="1"/>
    <col min="10" max="10" width="7.140625" style="313" hidden="1" customWidth="1" outlineLevel="2"/>
    <col min="11" max="11" width="7.7109375" style="313" hidden="1" customWidth="1" outlineLevel="2"/>
    <col min="12" max="12" width="10" style="313" hidden="1" customWidth="1" outlineLevel="2" collapsed="1"/>
    <col min="13" max="13" width="10.140625" style="313" hidden="1" customWidth="1" outlineLevel="2"/>
    <col min="14" max="14" width="7.85546875" style="313" hidden="1" customWidth="1" outlineLevel="2"/>
    <col min="15" max="15" width="8.85546875" style="313" hidden="1" customWidth="1" outlineLevel="1"/>
    <col min="16" max="17" width="7.42578125" style="313" hidden="1" customWidth="1" outlineLevel="2"/>
    <col min="18" max="18" width="8.85546875" style="313" hidden="1" customWidth="1" outlineLevel="1"/>
    <col min="19" max="19" width="8.5703125" style="313" hidden="1" customWidth="1" outlineLevel="2"/>
    <col min="20" max="20" width="7.42578125" style="313" hidden="1" customWidth="1" outlineLevel="2"/>
    <col min="21" max="21" width="10" style="313" hidden="1" customWidth="1" outlineLevel="1"/>
    <col min="22" max="23" width="10" style="313" hidden="1" customWidth="1" outlineLevel="2"/>
    <col min="24" max="24" width="10" style="313" hidden="1" customWidth="1" outlineLevel="1"/>
    <col min="25" max="26" width="10" style="313" hidden="1" customWidth="1" outlineLevel="2"/>
    <col min="27" max="27" width="10" style="313" customWidth="1" collapsed="1"/>
    <col min="28" max="32" width="10" style="313" hidden="1" customWidth="1" outlineLevel="1"/>
    <col min="33" max="33" width="10" style="313" customWidth="1" collapsed="1"/>
    <col min="34" max="34" width="11.5703125" style="313" hidden="1" customWidth="1" outlineLevel="1" collapsed="1"/>
    <col min="35" max="35" width="13.28515625" style="313" hidden="1" customWidth="1" outlineLevel="1"/>
    <col min="36" max="36" width="9.7109375" style="313" customWidth="1" collapsed="1"/>
    <col min="37" max="37" width="8" style="313" hidden="1" customWidth="1" outlineLevel="3"/>
    <col min="38" max="38" width="8.28515625" style="313" hidden="1" customWidth="1" outlineLevel="3"/>
    <col min="39" max="39" width="8.5703125" style="313" hidden="1" customWidth="1" outlineLevel="3"/>
    <col min="40" max="40" width="7.7109375" style="313" hidden="1" customWidth="1" outlineLevel="3" collapsed="1"/>
    <col min="41" max="41" width="7.140625" style="313" hidden="1" customWidth="1" outlineLevel="3"/>
    <col min="42" max="42" width="9" style="313" hidden="1" customWidth="1" outlineLevel="2"/>
    <col min="43" max="44" width="7.42578125" style="313" hidden="1" customWidth="1" outlineLevel="3"/>
    <col min="45" max="45" width="9.7109375" style="313" hidden="1" customWidth="1" outlineLevel="2"/>
    <col min="46" max="46" width="8.5703125" style="313" hidden="1" customWidth="1" outlineLevel="3"/>
    <col min="47" max="47" width="7.42578125" style="313" hidden="1" customWidth="1" outlineLevel="3"/>
    <col min="48" max="48" width="8.85546875" style="313" hidden="1" customWidth="1" outlineLevel="2"/>
    <col min="49" max="50" width="8.85546875" style="313" hidden="1" customWidth="1" outlineLevel="3"/>
    <col min="51" max="51" width="8.85546875" style="313" hidden="1" customWidth="1" outlineLevel="2" collapsed="1"/>
    <col min="52" max="52" width="8.5703125" style="313" hidden="1" customWidth="1" outlineLevel="1" collapsed="1"/>
    <col min="53" max="53" width="7.42578125" style="313" hidden="1" customWidth="1" outlineLevel="1"/>
    <col min="54" max="54" width="8.85546875" style="313" customWidth="1" collapsed="1"/>
    <col min="55" max="56" width="8.85546875" style="313" hidden="1" customWidth="1" outlineLevel="1"/>
    <col min="57" max="57" width="8.85546875" style="313" hidden="1" customWidth="1" outlineLevel="1" collapsed="1"/>
    <col min="58" max="59" width="8.85546875" style="313" hidden="1" customWidth="1" outlineLevel="1"/>
    <col min="60" max="60" width="8.85546875" style="313" customWidth="1" collapsed="1"/>
    <col min="61" max="61" width="11.42578125" style="550" customWidth="1" collapsed="1"/>
    <col min="62" max="62" width="11.42578125" style="550" hidden="1" customWidth="1" outlineLevel="1"/>
    <col min="63" max="66" width="11.5703125" style="550" hidden="1" customWidth="1" outlineLevel="1"/>
    <col min="67" max="67" width="11.5703125" style="550" customWidth="1" collapsed="1"/>
    <col min="68" max="68" width="11.5703125" style="550" hidden="1" customWidth="1" outlineLevel="1"/>
    <col min="69" max="69" width="11.5703125" style="550" customWidth="1" collapsed="1"/>
    <col min="70" max="70" width="12" style="550" customWidth="1" collapsed="1"/>
    <col min="71" max="71" width="12" style="550" hidden="1" customWidth="1" outlineLevel="1"/>
    <col min="72" max="72" width="10.85546875" style="550" hidden="1" customWidth="1" outlineLevel="1" collapsed="1"/>
    <col min="73" max="75" width="10.85546875" style="550" hidden="1" customWidth="1" outlineLevel="1"/>
    <col min="76" max="76" width="10.85546875" style="550" customWidth="1" collapsed="1"/>
    <col min="77" max="77" width="11.5703125" style="550" hidden="1" customWidth="1" outlineLevel="1"/>
    <col min="78" max="78" width="11.5703125" style="550" customWidth="1" collapsed="1"/>
    <col min="79" max="79" width="14.7109375" style="559" customWidth="1"/>
    <col min="80" max="80" width="20.85546875" style="559" hidden="1" customWidth="1" outlineLevel="1"/>
    <col min="81" max="81" width="17.28515625" style="559" customWidth="1" outlineLevel="1"/>
    <col min="82" max="82" width="19.140625" style="559" customWidth="1"/>
    <col min="83" max="16384" width="9.140625" style="313"/>
  </cols>
  <sheetData>
    <row r="1" spans="1:82" ht="39" customHeight="1" x14ac:dyDescent="0.2">
      <c r="A1" s="700" t="s">
        <v>1347</v>
      </c>
      <c r="B1" s="701" t="s">
        <v>595</v>
      </c>
      <c r="C1" s="700" t="s">
        <v>596</v>
      </c>
      <c r="D1" s="700" t="s">
        <v>597</v>
      </c>
      <c r="E1" s="702" t="s">
        <v>1348</v>
      </c>
      <c r="F1" s="699" t="s">
        <v>1349</v>
      </c>
      <c r="G1" s="698" t="s">
        <v>557</v>
      </c>
      <c r="H1" s="698"/>
      <c r="I1" s="698"/>
      <c r="J1" s="699" t="s">
        <v>599</v>
      </c>
      <c r="K1" s="699"/>
      <c r="L1" s="699"/>
      <c r="M1" s="699" t="s">
        <v>1350</v>
      </c>
      <c r="N1" s="699"/>
      <c r="O1" s="699"/>
      <c r="P1" s="699" t="s">
        <v>599</v>
      </c>
      <c r="Q1" s="699"/>
      <c r="R1" s="699"/>
      <c r="S1" s="699" t="s">
        <v>1141</v>
      </c>
      <c r="T1" s="699"/>
      <c r="U1" s="699"/>
      <c r="V1" s="699" t="s">
        <v>599</v>
      </c>
      <c r="W1" s="699"/>
      <c r="X1" s="699"/>
      <c r="Y1" s="699" t="s">
        <v>1121</v>
      </c>
      <c r="Z1" s="699"/>
      <c r="AA1" s="699"/>
      <c r="AB1" s="699" t="s">
        <v>599</v>
      </c>
      <c r="AC1" s="699"/>
      <c r="AD1" s="699"/>
      <c r="AE1" s="699" t="s">
        <v>1304</v>
      </c>
      <c r="AF1" s="699"/>
      <c r="AG1" s="699"/>
      <c r="AH1" s="698" t="s">
        <v>557</v>
      </c>
      <c r="AI1" s="698"/>
      <c r="AJ1" s="698"/>
      <c r="AK1" s="699" t="s">
        <v>428</v>
      </c>
      <c r="AL1" s="699"/>
      <c r="AM1" s="699"/>
      <c r="AN1" s="699" t="s">
        <v>1350</v>
      </c>
      <c r="AO1" s="699"/>
      <c r="AP1" s="699"/>
      <c r="AQ1" s="699" t="s">
        <v>428</v>
      </c>
      <c r="AR1" s="699"/>
      <c r="AS1" s="699"/>
      <c r="AT1" s="699" t="s">
        <v>1141</v>
      </c>
      <c r="AU1" s="699"/>
      <c r="AV1" s="699"/>
      <c r="AW1" s="708" t="s">
        <v>428</v>
      </c>
      <c r="AX1" s="709"/>
      <c r="AY1" s="710"/>
      <c r="AZ1" s="699" t="s">
        <v>1121</v>
      </c>
      <c r="BA1" s="699"/>
      <c r="BB1" s="699"/>
      <c r="BC1" s="699" t="s">
        <v>599</v>
      </c>
      <c r="BD1" s="699"/>
      <c r="BE1" s="699"/>
      <c r="BF1" s="699" t="s">
        <v>1304</v>
      </c>
      <c r="BG1" s="699"/>
      <c r="BH1" s="699"/>
      <c r="BI1" s="699" t="s">
        <v>600</v>
      </c>
      <c r="BJ1" s="699" t="s">
        <v>601</v>
      </c>
      <c r="BK1" s="699" t="s">
        <v>1351</v>
      </c>
      <c r="BL1" s="699" t="s">
        <v>601</v>
      </c>
      <c r="BM1" s="699" t="s">
        <v>1352</v>
      </c>
      <c r="BN1" s="699" t="s">
        <v>601</v>
      </c>
      <c r="BO1" s="699" t="s">
        <v>1729</v>
      </c>
      <c r="BP1" s="699" t="s">
        <v>601</v>
      </c>
      <c r="BQ1" s="699" t="s">
        <v>1283</v>
      </c>
      <c r="BR1" s="699" t="s">
        <v>602</v>
      </c>
      <c r="BS1" s="699" t="s">
        <v>601</v>
      </c>
      <c r="BT1" s="699" t="s">
        <v>1353</v>
      </c>
      <c r="BU1" s="699" t="s">
        <v>601</v>
      </c>
      <c r="BV1" s="699" t="s">
        <v>1354</v>
      </c>
      <c r="BW1" s="699" t="s">
        <v>601</v>
      </c>
      <c r="BX1" s="699" t="s">
        <v>1292</v>
      </c>
      <c r="BY1" s="699" t="s">
        <v>601</v>
      </c>
      <c r="BZ1" s="699" t="s">
        <v>1638</v>
      </c>
      <c r="CA1" s="705" t="s">
        <v>1142</v>
      </c>
      <c r="CB1" s="705" t="s">
        <v>1356</v>
      </c>
      <c r="CC1" s="705" t="s">
        <v>1723</v>
      </c>
      <c r="CD1" s="705" t="s">
        <v>1358</v>
      </c>
    </row>
    <row r="2" spans="1:82" ht="27" customHeight="1" x14ac:dyDescent="0.2">
      <c r="A2" s="700"/>
      <c r="B2" s="701"/>
      <c r="C2" s="700"/>
      <c r="D2" s="700"/>
      <c r="E2" s="703"/>
      <c r="F2" s="699"/>
      <c r="G2" s="699" t="s">
        <v>405</v>
      </c>
      <c r="H2" s="699"/>
      <c r="I2" s="699"/>
      <c r="J2" s="699" t="s">
        <v>405</v>
      </c>
      <c r="K2" s="699"/>
      <c r="L2" s="699"/>
      <c r="M2" s="699" t="s">
        <v>405</v>
      </c>
      <c r="N2" s="699"/>
      <c r="O2" s="699"/>
      <c r="P2" s="699" t="s">
        <v>405</v>
      </c>
      <c r="Q2" s="699"/>
      <c r="R2" s="699"/>
      <c r="S2" s="699" t="s">
        <v>405</v>
      </c>
      <c r="T2" s="699"/>
      <c r="U2" s="699"/>
      <c r="V2" s="699" t="s">
        <v>405</v>
      </c>
      <c r="W2" s="699"/>
      <c r="X2" s="699"/>
      <c r="Y2" s="699" t="s">
        <v>405</v>
      </c>
      <c r="Z2" s="699"/>
      <c r="AA2" s="699"/>
      <c r="AB2" s="699" t="s">
        <v>405</v>
      </c>
      <c r="AC2" s="699"/>
      <c r="AD2" s="699"/>
      <c r="AE2" s="699" t="s">
        <v>405</v>
      </c>
      <c r="AF2" s="699"/>
      <c r="AG2" s="699"/>
      <c r="AH2" s="699" t="s">
        <v>429</v>
      </c>
      <c r="AI2" s="699"/>
      <c r="AJ2" s="699"/>
      <c r="AK2" s="699" t="s">
        <v>429</v>
      </c>
      <c r="AL2" s="699"/>
      <c r="AM2" s="699"/>
      <c r="AN2" s="699" t="s">
        <v>429</v>
      </c>
      <c r="AO2" s="699"/>
      <c r="AP2" s="699"/>
      <c r="AQ2" s="699" t="s">
        <v>429</v>
      </c>
      <c r="AR2" s="699"/>
      <c r="AS2" s="699"/>
      <c r="AT2" s="699" t="s">
        <v>429</v>
      </c>
      <c r="AU2" s="699"/>
      <c r="AV2" s="699"/>
      <c r="AW2" s="708" t="s">
        <v>429</v>
      </c>
      <c r="AX2" s="709"/>
      <c r="AY2" s="710"/>
      <c r="AZ2" s="699" t="s">
        <v>429</v>
      </c>
      <c r="BA2" s="699"/>
      <c r="BB2" s="699"/>
      <c r="BC2" s="699" t="s">
        <v>429</v>
      </c>
      <c r="BD2" s="699"/>
      <c r="BE2" s="699"/>
      <c r="BF2" s="699" t="s">
        <v>429</v>
      </c>
      <c r="BG2" s="699"/>
      <c r="BH2" s="699"/>
      <c r="BI2" s="699"/>
      <c r="BJ2" s="699"/>
      <c r="BK2" s="699"/>
      <c r="BL2" s="699"/>
      <c r="BM2" s="699"/>
      <c r="BN2" s="699"/>
      <c r="BO2" s="699"/>
      <c r="BP2" s="699"/>
      <c r="BQ2" s="699"/>
      <c r="BR2" s="699"/>
      <c r="BS2" s="699"/>
      <c r="BT2" s="699"/>
      <c r="BU2" s="699"/>
      <c r="BV2" s="699"/>
      <c r="BW2" s="699"/>
      <c r="BX2" s="699"/>
      <c r="BY2" s="699"/>
      <c r="BZ2" s="699"/>
      <c r="CA2" s="706"/>
      <c r="CB2" s="706"/>
      <c r="CC2" s="706"/>
      <c r="CD2" s="706"/>
    </row>
    <row r="3" spans="1:82" x14ac:dyDescent="0.2">
      <c r="A3" s="700"/>
      <c r="B3" s="701"/>
      <c r="C3" s="700"/>
      <c r="D3" s="700"/>
      <c r="E3" s="704"/>
      <c r="F3" s="699"/>
      <c r="G3" s="505" t="s">
        <v>430</v>
      </c>
      <c r="H3" s="505" t="s">
        <v>431</v>
      </c>
      <c r="I3" s="505" t="s">
        <v>406</v>
      </c>
      <c r="J3" s="505" t="s">
        <v>430</v>
      </c>
      <c r="K3" s="505" t="s">
        <v>431</v>
      </c>
      <c r="L3" s="505" t="s">
        <v>406</v>
      </c>
      <c r="M3" s="505" t="s">
        <v>430</v>
      </c>
      <c r="N3" s="505" t="s">
        <v>431</v>
      </c>
      <c r="O3" s="505" t="s">
        <v>406</v>
      </c>
      <c r="P3" s="505" t="s">
        <v>430</v>
      </c>
      <c r="Q3" s="505" t="s">
        <v>431</v>
      </c>
      <c r="R3" s="505" t="s">
        <v>406</v>
      </c>
      <c r="S3" s="505" t="s">
        <v>430</v>
      </c>
      <c r="T3" s="505" t="s">
        <v>431</v>
      </c>
      <c r="U3" s="505" t="s">
        <v>406</v>
      </c>
      <c r="V3" s="505" t="s">
        <v>430</v>
      </c>
      <c r="W3" s="505" t="s">
        <v>431</v>
      </c>
      <c r="X3" s="505" t="s">
        <v>406</v>
      </c>
      <c r="Y3" s="505" t="s">
        <v>430</v>
      </c>
      <c r="Z3" s="505" t="s">
        <v>431</v>
      </c>
      <c r="AA3" s="505" t="s">
        <v>406</v>
      </c>
      <c r="AB3" s="505" t="s">
        <v>430</v>
      </c>
      <c r="AC3" s="505" t="s">
        <v>431</v>
      </c>
      <c r="AD3" s="505" t="s">
        <v>406</v>
      </c>
      <c r="AE3" s="505" t="s">
        <v>430</v>
      </c>
      <c r="AF3" s="505" t="s">
        <v>431</v>
      </c>
      <c r="AG3" s="505" t="s">
        <v>406</v>
      </c>
      <c r="AH3" s="505" t="s">
        <v>430</v>
      </c>
      <c r="AI3" s="505" t="s">
        <v>431</v>
      </c>
      <c r="AJ3" s="505" t="s">
        <v>406</v>
      </c>
      <c r="AK3" s="505" t="s">
        <v>430</v>
      </c>
      <c r="AL3" s="505" t="s">
        <v>431</v>
      </c>
      <c r="AM3" s="505" t="s">
        <v>406</v>
      </c>
      <c r="AN3" s="505" t="s">
        <v>430</v>
      </c>
      <c r="AO3" s="505" t="s">
        <v>431</v>
      </c>
      <c r="AP3" s="505" t="s">
        <v>406</v>
      </c>
      <c r="AQ3" s="505" t="s">
        <v>430</v>
      </c>
      <c r="AR3" s="505" t="s">
        <v>431</v>
      </c>
      <c r="AS3" s="505" t="s">
        <v>406</v>
      </c>
      <c r="AT3" s="505" t="s">
        <v>430</v>
      </c>
      <c r="AU3" s="505" t="s">
        <v>431</v>
      </c>
      <c r="AV3" s="505" t="s">
        <v>406</v>
      </c>
      <c r="AW3" s="505" t="s">
        <v>430</v>
      </c>
      <c r="AX3" s="505" t="s">
        <v>431</v>
      </c>
      <c r="AY3" s="505" t="s">
        <v>406</v>
      </c>
      <c r="AZ3" s="505" t="s">
        <v>430</v>
      </c>
      <c r="BA3" s="505" t="s">
        <v>431</v>
      </c>
      <c r="BB3" s="505" t="s">
        <v>406</v>
      </c>
      <c r="BC3" s="505" t="s">
        <v>430</v>
      </c>
      <c r="BD3" s="505" t="s">
        <v>431</v>
      </c>
      <c r="BE3" s="505" t="s">
        <v>406</v>
      </c>
      <c r="BF3" s="505" t="s">
        <v>430</v>
      </c>
      <c r="BG3" s="505" t="s">
        <v>431</v>
      </c>
      <c r="BH3" s="505" t="s">
        <v>406</v>
      </c>
      <c r="BI3" s="699"/>
      <c r="BJ3" s="699"/>
      <c r="BK3" s="699"/>
      <c r="BL3" s="699"/>
      <c r="BM3" s="699"/>
      <c r="BN3" s="699"/>
      <c r="BO3" s="699"/>
      <c r="BP3" s="699"/>
      <c r="BQ3" s="699"/>
      <c r="BR3" s="699"/>
      <c r="BS3" s="699"/>
      <c r="BT3" s="699"/>
      <c r="BU3" s="699"/>
      <c r="BV3" s="699"/>
      <c r="BW3" s="699"/>
      <c r="BX3" s="699"/>
      <c r="BY3" s="699"/>
      <c r="BZ3" s="699"/>
      <c r="CA3" s="707"/>
      <c r="CB3" s="707"/>
      <c r="CC3" s="707"/>
      <c r="CD3" s="707"/>
    </row>
    <row r="4" spans="1:82" x14ac:dyDescent="0.2">
      <c r="A4" s="702" t="s">
        <v>407</v>
      </c>
      <c r="B4" s="292" t="s">
        <v>1359</v>
      </c>
      <c r="C4" s="293" t="s">
        <v>1143</v>
      </c>
      <c r="D4" s="512"/>
      <c r="E4" s="715" t="s">
        <v>604</v>
      </c>
      <c r="F4" s="294" t="s">
        <v>605</v>
      </c>
      <c r="G4" s="295"/>
      <c r="H4" s="296"/>
      <c r="I4" s="499"/>
      <c r="J4" s="297"/>
      <c r="K4" s="297"/>
      <c r="L4" s="297"/>
      <c r="M4" s="499"/>
      <c r="N4" s="499"/>
      <c r="O4" s="296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9">
        <v>1000</v>
      </c>
      <c r="AI4" s="296">
        <v>270</v>
      </c>
      <c r="AJ4" s="499">
        <f>SUM(AH4:AI4)</f>
        <v>1270</v>
      </c>
      <c r="AK4" s="499">
        <f t="shared" ref="AK4:AM24" si="0">AN4-AH4</f>
        <v>-339</v>
      </c>
      <c r="AL4" s="499">
        <f t="shared" si="0"/>
        <v>-91</v>
      </c>
      <c r="AM4" s="499">
        <f t="shared" si="0"/>
        <v>-430</v>
      </c>
      <c r="AN4" s="499">
        <f>AH4-AN5</f>
        <v>661</v>
      </c>
      <c r="AO4" s="499">
        <f>AI4-AO5</f>
        <v>179</v>
      </c>
      <c r="AP4" s="499">
        <f>AJ4-AP5</f>
        <v>840</v>
      </c>
      <c r="AQ4" s="499">
        <f t="shared" ref="AQ4:AS22" si="1">AT4-AN4</f>
        <v>-339</v>
      </c>
      <c r="AR4" s="499">
        <f t="shared" si="1"/>
        <v>-91</v>
      </c>
      <c r="AS4" s="499">
        <f t="shared" si="1"/>
        <v>-430</v>
      </c>
      <c r="AT4" s="499">
        <f>AN4-AT5</f>
        <v>322</v>
      </c>
      <c r="AU4" s="499">
        <f>AO4-AU5</f>
        <v>88</v>
      </c>
      <c r="AV4" s="499">
        <f>AP4-AV5</f>
        <v>410</v>
      </c>
      <c r="AW4" s="499"/>
      <c r="AX4" s="499"/>
      <c r="AY4" s="499"/>
      <c r="AZ4" s="499">
        <v>322</v>
      </c>
      <c r="BA4" s="499">
        <v>88</v>
      </c>
      <c r="BB4" s="499">
        <v>410</v>
      </c>
      <c r="BC4" s="499">
        <f t="shared" ref="BC4:BE28" si="2">BF4-AT4</f>
        <v>-322</v>
      </c>
      <c r="BD4" s="499">
        <f t="shared" si="2"/>
        <v>-88</v>
      </c>
      <c r="BE4" s="499">
        <f t="shared" si="2"/>
        <v>-410</v>
      </c>
      <c r="BF4" s="499">
        <v>0</v>
      </c>
      <c r="BG4" s="499">
        <v>0</v>
      </c>
      <c r="BH4" s="499">
        <f>SUM(BF4:BG4)</f>
        <v>0</v>
      </c>
      <c r="BI4" s="711">
        <f>SUM(I4:I31)</f>
        <v>0</v>
      </c>
      <c r="BJ4" s="711">
        <f>SUM(L4:L31)</f>
        <v>0</v>
      </c>
      <c r="BK4" s="711">
        <f>SUM(O4:O31)</f>
        <v>0</v>
      </c>
      <c r="BL4" s="711">
        <f>SUM(R4:R31)</f>
        <v>0</v>
      </c>
      <c r="BM4" s="711">
        <f>SUM(U4:U31)</f>
        <v>0</v>
      </c>
      <c r="BN4" s="711">
        <f>SUM(AD4:AD31)</f>
        <v>0</v>
      </c>
      <c r="BO4" s="711">
        <f>SUM(AG4:AG31)</f>
        <v>0</v>
      </c>
      <c r="BP4" s="711">
        <f>SUM(AH4:AH31)</f>
        <v>5913</v>
      </c>
      <c r="BQ4" s="711">
        <f>SUM(AG4:AG33)</f>
        <v>0</v>
      </c>
      <c r="BR4" s="711">
        <f>SUM(AJ4:AJ33)</f>
        <v>7510</v>
      </c>
      <c r="BS4" s="711">
        <f>SUM(AS4:AS31)</f>
        <v>-489</v>
      </c>
      <c r="BT4" s="711">
        <f>SUM(AP4:AP31)</f>
        <v>9719</v>
      </c>
      <c r="BU4" s="711">
        <f>SUM(AS4:AS31)</f>
        <v>-489</v>
      </c>
      <c r="BV4" s="711">
        <f>SUM(AV4:AV31)</f>
        <v>9230</v>
      </c>
      <c r="BW4" s="711">
        <f>SUM(BE4:BE31)</f>
        <v>-5000</v>
      </c>
      <c r="BX4" s="711">
        <f>SUM(BB4:BB33)</f>
        <v>9230</v>
      </c>
      <c r="BY4" s="300"/>
      <c r="BZ4" s="711">
        <f>SUM(BH4:BH33)</f>
        <v>4510</v>
      </c>
      <c r="CA4" s="711">
        <f>SUM(BQ4,BZ4)</f>
        <v>4510</v>
      </c>
      <c r="CB4" s="297">
        <v>0</v>
      </c>
      <c r="CC4" s="297">
        <v>0</v>
      </c>
      <c r="CD4" s="711">
        <f>SUM(CC4:CC33)</f>
        <v>4510</v>
      </c>
    </row>
    <row r="5" spans="1:82" x14ac:dyDescent="0.2">
      <c r="A5" s="703"/>
      <c r="B5" s="292" t="s">
        <v>1359</v>
      </c>
      <c r="C5" s="301" t="s">
        <v>606</v>
      </c>
      <c r="D5" s="512"/>
      <c r="E5" s="716"/>
      <c r="F5" s="294" t="s">
        <v>607</v>
      </c>
      <c r="G5" s="295"/>
      <c r="H5" s="296"/>
      <c r="I5" s="499"/>
      <c r="J5" s="297"/>
      <c r="K5" s="297"/>
      <c r="L5" s="297"/>
      <c r="M5" s="499"/>
      <c r="N5" s="499"/>
      <c r="O5" s="499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9"/>
      <c r="AI5" s="296"/>
      <c r="AJ5" s="499"/>
      <c r="AK5" s="499">
        <f t="shared" si="0"/>
        <v>339</v>
      </c>
      <c r="AL5" s="499">
        <f t="shared" si="0"/>
        <v>91</v>
      </c>
      <c r="AM5" s="499">
        <f t="shared" si="0"/>
        <v>430</v>
      </c>
      <c r="AN5" s="298">
        <v>339</v>
      </c>
      <c r="AO5" s="298">
        <v>91</v>
      </c>
      <c r="AP5" s="298">
        <f>SUM(AN5:AO5)</f>
        <v>430</v>
      </c>
      <c r="AQ5" s="499">
        <f t="shared" si="1"/>
        <v>0</v>
      </c>
      <c r="AR5" s="499">
        <f t="shared" si="1"/>
        <v>0</v>
      </c>
      <c r="AS5" s="499">
        <f t="shared" si="1"/>
        <v>0</v>
      </c>
      <c r="AT5" s="298">
        <v>339</v>
      </c>
      <c r="AU5" s="298">
        <v>91</v>
      </c>
      <c r="AV5" s="298">
        <f>SUM(AT5:AU5)</f>
        <v>430</v>
      </c>
      <c r="AW5" s="298"/>
      <c r="AX5" s="298"/>
      <c r="AY5" s="298"/>
      <c r="AZ5" s="298">
        <v>339</v>
      </c>
      <c r="BA5" s="298">
        <v>91</v>
      </c>
      <c r="BB5" s="298">
        <v>430</v>
      </c>
      <c r="BC5" s="499">
        <f t="shared" si="2"/>
        <v>0</v>
      </c>
      <c r="BD5" s="499">
        <f t="shared" si="2"/>
        <v>0</v>
      </c>
      <c r="BE5" s="499">
        <f t="shared" si="2"/>
        <v>0</v>
      </c>
      <c r="BF5" s="298">
        <v>339</v>
      </c>
      <c r="BG5" s="298">
        <v>91</v>
      </c>
      <c r="BH5" s="298">
        <f>SUM(BF5:BG5)</f>
        <v>430</v>
      </c>
      <c r="BI5" s="712"/>
      <c r="BJ5" s="712"/>
      <c r="BK5" s="712"/>
      <c r="BL5" s="712"/>
      <c r="BM5" s="712"/>
      <c r="BN5" s="712"/>
      <c r="BO5" s="712"/>
      <c r="BP5" s="712"/>
      <c r="BQ5" s="712"/>
      <c r="BR5" s="712"/>
      <c r="BS5" s="712"/>
      <c r="BT5" s="712"/>
      <c r="BU5" s="712"/>
      <c r="BV5" s="712"/>
      <c r="BW5" s="712"/>
      <c r="BX5" s="712"/>
      <c r="BY5" s="300"/>
      <c r="BZ5" s="714"/>
      <c r="CA5" s="712"/>
      <c r="CB5" s="297">
        <v>338840</v>
      </c>
      <c r="CC5" s="297">
        <v>430</v>
      </c>
      <c r="CD5" s="712"/>
    </row>
    <row r="6" spans="1:82" x14ac:dyDescent="0.2">
      <c r="A6" s="703"/>
      <c r="B6" s="292" t="s">
        <v>1359</v>
      </c>
      <c r="C6" s="293" t="s">
        <v>1360</v>
      </c>
      <c r="D6" s="512"/>
      <c r="E6" s="716"/>
      <c r="F6" s="294" t="s">
        <v>1361</v>
      </c>
      <c r="G6" s="295"/>
      <c r="H6" s="296"/>
      <c r="I6" s="499"/>
      <c r="J6" s="297"/>
      <c r="K6" s="297"/>
      <c r="L6" s="297"/>
      <c r="M6" s="499"/>
      <c r="N6" s="499"/>
      <c r="O6" s="499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9">
        <v>480</v>
      </c>
      <c r="AI6" s="296">
        <v>130</v>
      </c>
      <c r="AJ6" s="499">
        <f>SUM(AH6:AI6)</f>
        <v>610</v>
      </c>
      <c r="AK6" s="499">
        <f t="shared" si="0"/>
        <v>0</v>
      </c>
      <c r="AL6" s="499">
        <f t="shared" si="0"/>
        <v>0</v>
      </c>
      <c r="AM6" s="499">
        <f t="shared" si="0"/>
        <v>0</v>
      </c>
      <c r="AN6" s="298">
        <v>480</v>
      </c>
      <c r="AO6" s="298">
        <v>130</v>
      </c>
      <c r="AP6" s="298">
        <f>SUM(AN6:AO6)</f>
        <v>610</v>
      </c>
      <c r="AQ6" s="499">
        <f t="shared" si="1"/>
        <v>0</v>
      </c>
      <c r="AR6" s="499">
        <f t="shared" si="1"/>
        <v>0</v>
      </c>
      <c r="AS6" s="499">
        <f t="shared" si="1"/>
        <v>0</v>
      </c>
      <c r="AT6" s="298">
        <v>480</v>
      </c>
      <c r="AU6" s="298">
        <v>130</v>
      </c>
      <c r="AV6" s="298">
        <f>SUM(AT6:AU6)</f>
        <v>610</v>
      </c>
      <c r="AW6" s="298"/>
      <c r="AX6" s="298"/>
      <c r="AY6" s="298"/>
      <c r="AZ6" s="298">
        <v>480</v>
      </c>
      <c r="BA6" s="298">
        <v>130</v>
      </c>
      <c r="BB6" s="298">
        <v>610</v>
      </c>
      <c r="BC6" s="499">
        <f t="shared" si="2"/>
        <v>-480</v>
      </c>
      <c r="BD6" s="499">
        <f t="shared" si="2"/>
        <v>-130</v>
      </c>
      <c r="BE6" s="499">
        <f t="shared" si="2"/>
        <v>-610</v>
      </c>
      <c r="BF6" s="298">
        <v>0</v>
      </c>
      <c r="BG6" s="298">
        <v>0</v>
      </c>
      <c r="BH6" s="298">
        <f>SUM(BF6:BG6)</f>
        <v>0</v>
      </c>
      <c r="BI6" s="712"/>
      <c r="BJ6" s="712"/>
      <c r="BK6" s="712"/>
      <c r="BL6" s="712"/>
      <c r="BM6" s="712"/>
      <c r="BN6" s="712"/>
      <c r="BO6" s="712"/>
      <c r="BP6" s="712"/>
      <c r="BQ6" s="712"/>
      <c r="BR6" s="712"/>
      <c r="BS6" s="712"/>
      <c r="BT6" s="712"/>
      <c r="BU6" s="712"/>
      <c r="BV6" s="712"/>
      <c r="BW6" s="712"/>
      <c r="BX6" s="712"/>
      <c r="BY6" s="300"/>
      <c r="BZ6" s="714"/>
      <c r="CA6" s="712"/>
      <c r="CB6" s="297">
        <v>0</v>
      </c>
      <c r="CC6" s="297">
        <v>0</v>
      </c>
      <c r="CD6" s="712"/>
    </row>
    <row r="7" spans="1:82" ht="20.25" customHeight="1" x14ac:dyDescent="0.2">
      <c r="A7" s="703"/>
      <c r="B7" s="292" t="s">
        <v>1359</v>
      </c>
      <c r="C7" s="293" t="s">
        <v>1143</v>
      </c>
      <c r="D7" s="512"/>
      <c r="E7" s="716"/>
      <c r="F7" s="302" t="s">
        <v>608</v>
      </c>
      <c r="G7" s="295"/>
      <c r="H7" s="296"/>
      <c r="I7" s="499"/>
      <c r="J7" s="297"/>
      <c r="K7" s="297"/>
      <c r="L7" s="297"/>
      <c r="M7" s="499"/>
      <c r="N7" s="499"/>
      <c r="O7" s="499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  <c r="AE7" s="298"/>
      <c r="AF7" s="298"/>
      <c r="AG7" s="298"/>
      <c r="AH7" s="299">
        <v>893</v>
      </c>
      <c r="AI7" s="296">
        <v>241</v>
      </c>
      <c r="AJ7" s="499">
        <f>SUM(AH7:AI7)</f>
        <v>1134</v>
      </c>
      <c r="AK7" s="499">
        <f t="shared" si="0"/>
        <v>0</v>
      </c>
      <c r="AL7" s="499">
        <f t="shared" si="0"/>
        <v>0</v>
      </c>
      <c r="AM7" s="499">
        <f t="shared" si="0"/>
        <v>0</v>
      </c>
      <c r="AN7" s="298">
        <v>893</v>
      </c>
      <c r="AO7" s="298">
        <v>241</v>
      </c>
      <c r="AP7" s="298">
        <f>SUM(AN7:AO7)</f>
        <v>1134</v>
      </c>
      <c r="AQ7" s="499">
        <f t="shared" si="1"/>
        <v>0</v>
      </c>
      <c r="AR7" s="499">
        <f t="shared" si="1"/>
        <v>0</v>
      </c>
      <c r="AS7" s="499">
        <f t="shared" si="1"/>
        <v>0</v>
      </c>
      <c r="AT7" s="298">
        <v>893</v>
      </c>
      <c r="AU7" s="298">
        <v>241</v>
      </c>
      <c r="AV7" s="298">
        <f>SUM(AT7:AU7)</f>
        <v>1134</v>
      </c>
      <c r="AW7" s="298"/>
      <c r="AX7" s="298"/>
      <c r="AY7" s="298"/>
      <c r="AZ7" s="298">
        <v>893</v>
      </c>
      <c r="BA7" s="298">
        <v>241</v>
      </c>
      <c r="BB7" s="298">
        <v>1134</v>
      </c>
      <c r="BC7" s="499">
        <f t="shared" si="2"/>
        <v>-893</v>
      </c>
      <c r="BD7" s="499">
        <f t="shared" si="2"/>
        <v>-241</v>
      </c>
      <c r="BE7" s="499">
        <f t="shared" si="2"/>
        <v>-1134</v>
      </c>
      <c r="BF7" s="298">
        <v>0</v>
      </c>
      <c r="BG7" s="298">
        <v>0</v>
      </c>
      <c r="BH7" s="298">
        <v>0</v>
      </c>
      <c r="BI7" s="712"/>
      <c r="BJ7" s="712"/>
      <c r="BK7" s="712"/>
      <c r="BL7" s="712"/>
      <c r="BM7" s="712"/>
      <c r="BN7" s="712"/>
      <c r="BO7" s="712"/>
      <c r="BP7" s="712"/>
      <c r="BQ7" s="712"/>
      <c r="BR7" s="712"/>
      <c r="BS7" s="712"/>
      <c r="BT7" s="712"/>
      <c r="BU7" s="712"/>
      <c r="BV7" s="712"/>
      <c r="BW7" s="712"/>
      <c r="BX7" s="712"/>
      <c r="BY7" s="300"/>
      <c r="BZ7" s="714"/>
      <c r="CA7" s="712"/>
      <c r="CB7" s="297">
        <v>0</v>
      </c>
      <c r="CC7" s="297">
        <v>0</v>
      </c>
      <c r="CD7" s="712"/>
    </row>
    <row r="8" spans="1:82" x14ac:dyDescent="0.2">
      <c r="A8" s="703"/>
      <c r="B8" s="292" t="s">
        <v>1359</v>
      </c>
      <c r="C8" s="293" t="s">
        <v>1143</v>
      </c>
      <c r="D8" s="512"/>
      <c r="E8" s="716"/>
      <c r="F8" s="302" t="s">
        <v>609</v>
      </c>
      <c r="G8" s="295"/>
      <c r="H8" s="296"/>
      <c r="I8" s="499"/>
      <c r="J8" s="297"/>
      <c r="K8" s="297"/>
      <c r="L8" s="297"/>
      <c r="M8" s="499"/>
      <c r="N8" s="499"/>
      <c r="O8" s="296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9">
        <v>827</v>
      </c>
      <c r="AI8" s="296">
        <v>223</v>
      </c>
      <c r="AJ8" s="499">
        <f>SUM(AH8:AI8)</f>
        <v>1050</v>
      </c>
      <c r="AK8" s="499">
        <f t="shared" si="0"/>
        <v>-22</v>
      </c>
      <c r="AL8" s="499">
        <f t="shared" si="0"/>
        <v>-6</v>
      </c>
      <c r="AM8" s="499">
        <f t="shared" si="0"/>
        <v>-28</v>
      </c>
      <c r="AN8" s="499">
        <f>AH8-AN9</f>
        <v>805</v>
      </c>
      <c r="AO8" s="499">
        <f>AI8-AO9</f>
        <v>217</v>
      </c>
      <c r="AP8" s="499">
        <f>AJ8-AP9</f>
        <v>1022</v>
      </c>
      <c r="AQ8" s="499">
        <f t="shared" si="1"/>
        <v>-22</v>
      </c>
      <c r="AR8" s="499">
        <f t="shared" si="1"/>
        <v>-6</v>
      </c>
      <c r="AS8" s="499">
        <f t="shared" si="1"/>
        <v>-28</v>
      </c>
      <c r="AT8" s="499">
        <f>AN8-AT9</f>
        <v>783</v>
      </c>
      <c r="AU8" s="499">
        <f>AO8-AU9</f>
        <v>211</v>
      </c>
      <c r="AV8" s="499">
        <f>AP8-AV9</f>
        <v>994</v>
      </c>
      <c r="AW8" s="499"/>
      <c r="AX8" s="499"/>
      <c r="AY8" s="499"/>
      <c r="AZ8" s="499">
        <v>783</v>
      </c>
      <c r="BA8" s="499">
        <v>211</v>
      </c>
      <c r="BB8" s="499">
        <v>994</v>
      </c>
      <c r="BC8" s="499">
        <f t="shared" si="2"/>
        <v>-783</v>
      </c>
      <c r="BD8" s="499">
        <f t="shared" si="2"/>
        <v>-211</v>
      </c>
      <c r="BE8" s="499">
        <f t="shared" si="2"/>
        <v>-994</v>
      </c>
      <c r="BF8" s="499">
        <v>0</v>
      </c>
      <c r="BG8" s="499">
        <v>0</v>
      </c>
      <c r="BH8" s="499">
        <f>SUM(BF8:BG8)</f>
        <v>0</v>
      </c>
      <c r="BI8" s="712"/>
      <c r="BJ8" s="712"/>
      <c r="BK8" s="712"/>
      <c r="BL8" s="712"/>
      <c r="BM8" s="712"/>
      <c r="BN8" s="712"/>
      <c r="BO8" s="712"/>
      <c r="BP8" s="712"/>
      <c r="BQ8" s="712"/>
      <c r="BR8" s="712"/>
      <c r="BS8" s="712"/>
      <c r="BT8" s="712"/>
      <c r="BU8" s="712"/>
      <c r="BV8" s="712"/>
      <c r="BW8" s="712"/>
      <c r="BX8" s="712"/>
      <c r="BY8" s="300"/>
      <c r="BZ8" s="714"/>
      <c r="CA8" s="712"/>
      <c r="CB8" s="297">
        <v>0</v>
      </c>
      <c r="CC8" s="297">
        <v>0</v>
      </c>
      <c r="CD8" s="712"/>
    </row>
    <row r="9" spans="1:82" ht="20.25" customHeight="1" x14ac:dyDescent="0.2">
      <c r="A9" s="703"/>
      <c r="B9" s="292" t="s">
        <v>1359</v>
      </c>
      <c r="C9" s="293" t="s">
        <v>610</v>
      </c>
      <c r="D9" s="512"/>
      <c r="E9" s="716"/>
      <c r="F9" s="302" t="s">
        <v>1144</v>
      </c>
      <c r="G9" s="295"/>
      <c r="H9" s="296"/>
      <c r="I9" s="499"/>
      <c r="J9" s="297"/>
      <c r="K9" s="297"/>
      <c r="L9" s="297"/>
      <c r="M9" s="499"/>
      <c r="N9" s="499"/>
      <c r="O9" s="499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9"/>
      <c r="AI9" s="296"/>
      <c r="AJ9" s="499"/>
      <c r="AK9" s="298">
        <f t="shared" si="0"/>
        <v>22</v>
      </c>
      <c r="AL9" s="298">
        <f t="shared" si="0"/>
        <v>6</v>
      </c>
      <c r="AM9" s="298">
        <f t="shared" si="0"/>
        <v>28</v>
      </c>
      <c r="AN9" s="298">
        <v>22</v>
      </c>
      <c r="AO9" s="298">
        <v>6</v>
      </c>
      <c r="AP9" s="298">
        <f>SUM(AN9:AO9)</f>
        <v>28</v>
      </c>
      <c r="AQ9" s="298">
        <f t="shared" si="1"/>
        <v>0</v>
      </c>
      <c r="AR9" s="298">
        <f t="shared" si="1"/>
        <v>0</v>
      </c>
      <c r="AS9" s="298">
        <f t="shared" si="1"/>
        <v>0</v>
      </c>
      <c r="AT9" s="298">
        <v>22</v>
      </c>
      <c r="AU9" s="298">
        <v>6</v>
      </c>
      <c r="AV9" s="298">
        <f>SUM(AT9:AU9)</f>
        <v>28</v>
      </c>
      <c r="AW9" s="298"/>
      <c r="AX9" s="298"/>
      <c r="AY9" s="298"/>
      <c r="AZ9" s="298">
        <v>22</v>
      </c>
      <c r="BA9" s="298">
        <v>6</v>
      </c>
      <c r="BB9" s="298">
        <v>28</v>
      </c>
      <c r="BC9" s="499">
        <f t="shared" si="2"/>
        <v>0</v>
      </c>
      <c r="BD9" s="499">
        <f t="shared" si="2"/>
        <v>0</v>
      </c>
      <c r="BE9" s="499">
        <f t="shared" si="2"/>
        <v>0</v>
      </c>
      <c r="BF9" s="298">
        <v>22</v>
      </c>
      <c r="BG9" s="298">
        <v>6</v>
      </c>
      <c r="BH9" s="298">
        <f>SUM(BF9:BG9)</f>
        <v>28</v>
      </c>
      <c r="BI9" s="712"/>
      <c r="BJ9" s="712"/>
      <c r="BK9" s="712"/>
      <c r="BL9" s="712"/>
      <c r="BM9" s="712"/>
      <c r="BN9" s="712"/>
      <c r="BO9" s="712"/>
      <c r="BP9" s="712"/>
      <c r="BQ9" s="712"/>
      <c r="BR9" s="712"/>
      <c r="BS9" s="712"/>
      <c r="BT9" s="712"/>
      <c r="BU9" s="712"/>
      <c r="BV9" s="712"/>
      <c r="BW9" s="712"/>
      <c r="BX9" s="712"/>
      <c r="BY9" s="300"/>
      <c r="BZ9" s="714"/>
      <c r="CA9" s="712"/>
      <c r="CB9" s="297">
        <v>21811</v>
      </c>
      <c r="CC9" s="297">
        <v>28</v>
      </c>
      <c r="CD9" s="712"/>
    </row>
    <row r="10" spans="1:82" x14ac:dyDescent="0.2">
      <c r="A10" s="703"/>
      <c r="B10" s="292" t="s">
        <v>1359</v>
      </c>
      <c r="C10" s="293" t="s">
        <v>1143</v>
      </c>
      <c r="D10" s="512"/>
      <c r="E10" s="716"/>
      <c r="F10" s="302" t="s">
        <v>611</v>
      </c>
      <c r="G10" s="295"/>
      <c r="H10" s="296"/>
      <c r="I10" s="499"/>
      <c r="J10" s="297"/>
      <c r="K10" s="297"/>
      <c r="L10" s="297"/>
      <c r="M10" s="499"/>
      <c r="N10" s="499"/>
      <c r="O10" s="499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9">
        <v>788</v>
      </c>
      <c r="AI10" s="296">
        <v>213</v>
      </c>
      <c r="AJ10" s="499">
        <f>SUM(AH10:AI10)</f>
        <v>1001</v>
      </c>
      <c r="AK10" s="298">
        <f t="shared" si="0"/>
        <v>0</v>
      </c>
      <c r="AL10" s="298">
        <f t="shared" si="0"/>
        <v>0</v>
      </c>
      <c r="AM10" s="298">
        <f t="shared" si="0"/>
        <v>0</v>
      </c>
      <c r="AN10" s="298">
        <v>788</v>
      </c>
      <c r="AO10" s="298">
        <v>213</v>
      </c>
      <c r="AP10" s="298">
        <f>SUM(AN10:AO10)</f>
        <v>1001</v>
      </c>
      <c r="AQ10" s="298">
        <f t="shared" si="1"/>
        <v>0</v>
      </c>
      <c r="AR10" s="298">
        <f t="shared" si="1"/>
        <v>0</v>
      </c>
      <c r="AS10" s="298">
        <f t="shared" si="1"/>
        <v>0</v>
      </c>
      <c r="AT10" s="298">
        <v>788</v>
      </c>
      <c r="AU10" s="298">
        <v>213</v>
      </c>
      <c r="AV10" s="298">
        <f>SUM(AT10:AU10)</f>
        <v>1001</v>
      </c>
      <c r="AW10" s="298"/>
      <c r="AX10" s="298"/>
      <c r="AY10" s="298"/>
      <c r="AZ10" s="298">
        <v>788</v>
      </c>
      <c r="BA10" s="298">
        <v>213</v>
      </c>
      <c r="BB10" s="298">
        <v>1001</v>
      </c>
      <c r="BC10" s="499">
        <f t="shared" si="2"/>
        <v>-788</v>
      </c>
      <c r="BD10" s="499">
        <f t="shared" si="2"/>
        <v>-213</v>
      </c>
      <c r="BE10" s="499">
        <f t="shared" si="2"/>
        <v>-1001</v>
      </c>
      <c r="BF10" s="298">
        <v>0</v>
      </c>
      <c r="BG10" s="298">
        <v>0</v>
      </c>
      <c r="BH10" s="298">
        <f>SUM(BF10:BG10)</f>
        <v>0</v>
      </c>
      <c r="BI10" s="712"/>
      <c r="BJ10" s="712"/>
      <c r="BK10" s="712"/>
      <c r="BL10" s="712"/>
      <c r="BM10" s="712"/>
      <c r="BN10" s="712"/>
      <c r="BO10" s="712"/>
      <c r="BP10" s="712"/>
      <c r="BQ10" s="712"/>
      <c r="BR10" s="712"/>
      <c r="BS10" s="712"/>
      <c r="BT10" s="712"/>
      <c r="BU10" s="712"/>
      <c r="BV10" s="712"/>
      <c r="BW10" s="712"/>
      <c r="BX10" s="712"/>
      <c r="BY10" s="300"/>
      <c r="BZ10" s="714"/>
      <c r="CA10" s="712"/>
      <c r="CB10" s="297">
        <v>0</v>
      </c>
      <c r="CC10" s="297">
        <v>0</v>
      </c>
      <c r="CD10" s="712"/>
    </row>
    <row r="11" spans="1:82" ht="22.5" x14ac:dyDescent="0.2">
      <c r="A11" s="703"/>
      <c r="B11" s="292" t="s">
        <v>1359</v>
      </c>
      <c r="C11" s="293" t="s">
        <v>1143</v>
      </c>
      <c r="D11" s="512"/>
      <c r="E11" s="716"/>
      <c r="F11" s="294" t="s">
        <v>612</v>
      </c>
      <c r="G11" s="295"/>
      <c r="H11" s="296"/>
      <c r="I11" s="499"/>
      <c r="J11" s="297"/>
      <c r="K11" s="297"/>
      <c r="L11" s="516"/>
      <c r="M11" s="499"/>
      <c r="N11" s="499"/>
      <c r="O11" s="296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  <c r="AH11" s="299">
        <v>394</v>
      </c>
      <c r="AI11" s="296">
        <v>106</v>
      </c>
      <c r="AJ11" s="499">
        <f>SUM(AH11:AI11)</f>
        <v>500</v>
      </c>
      <c r="AK11" s="499">
        <f t="shared" si="0"/>
        <v>-394</v>
      </c>
      <c r="AL11" s="499">
        <f t="shared" si="0"/>
        <v>-106</v>
      </c>
      <c r="AM11" s="499">
        <f t="shared" si="0"/>
        <v>-500</v>
      </c>
      <c r="AN11" s="499">
        <v>0</v>
      </c>
      <c r="AO11" s="499">
        <v>0</v>
      </c>
      <c r="AP11" s="298">
        <f t="shared" ref="AP11:AP17" si="3">SUM(AN11:AO11)</f>
        <v>0</v>
      </c>
      <c r="AQ11" s="499">
        <f t="shared" si="1"/>
        <v>0</v>
      </c>
      <c r="AR11" s="499">
        <f t="shared" si="1"/>
        <v>0</v>
      </c>
      <c r="AS11" s="499">
        <f t="shared" si="1"/>
        <v>0</v>
      </c>
      <c r="AT11" s="499">
        <v>0</v>
      </c>
      <c r="AU11" s="499">
        <v>0</v>
      </c>
      <c r="AV11" s="298">
        <f t="shared" ref="AV11:AV19" si="4">SUM(AT11:AU11)</f>
        <v>0</v>
      </c>
      <c r="AW11" s="298"/>
      <c r="AX11" s="298"/>
      <c r="AY11" s="298"/>
      <c r="AZ11" s="499">
        <v>0</v>
      </c>
      <c r="BA11" s="499">
        <v>0</v>
      </c>
      <c r="BB11" s="298">
        <v>0</v>
      </c>
      <c r="BC11" s="499">
        <f t="shared" si="2"/>
        <v>0</v>
      </c>
      <c r="BD11" s="499">
        <f t="shared" si="2"/>
        <v>0</v>
      </c>
      <c r="BE11" s="499">
        <f t="shared" si="2"/>
        <v>0</v>
      </c>
      <c r="BF11" s="499">
        <v>0</v>
      </c>
      <c r="BG11" s="499">
        <v>0</v>
      </c>
      <c r="BH11" s="298">
        <v>0</v>
      </c>
      <c r="BI11" s="712"/>
      <c r="BJ11" s="712"/>
      <c r="BK11" s="712"/>
      <c r="BL11" s="712"/>
      <c r="BM11" s="712"/>
      <c r="BN11" s="712"/>
      <c r="BO11" s="712"/>
      <c r="BP11" s="712"/>
      <c r="BQ11" s="712"/>
      <c r="BR11" s="712"/>
      <c r="BS11" s="712"/>
      <c r="BT11" s="712"/>
      <c r="BU11" s="712"/>
      <c r="BV11" s="712"/>
      <c r="BW11" s="712"/>
      <c r="BX11" s="712"/>
      <c r="BY11" s="300"/>
      <c r="BZ11" s="714"/>
      <c r="CA11" s="712"/>
      <c r="CB11" s="297">
        <v>0</v>
      </c>
      <c r="CC11" s="297">
        <v>0</v>
      </c>
      <c r="CD11" s="712"/>
    </row>
    <row r="12" spans="1:82" x14ac:dyDescent="0.2">
      <c r="A12" s="703"/>
      <c r="B12" s="292" t="s">
        <v>1359</v>
      </c>
      <c r="C12" s="293" t="s">
        <v>1362</v>
      </c>
      <c r="D12" s="512"/>
      <c r="E12" s="716"/>
      <c r="F12" s="294" t="s">
        <v>613</v>
      </c>
      <c r="G12" s="295"/>
      <c r="H12" s="296"/>
      <c r="I12" s="499"/>
      <c r="J12" s="297"/>
      <c r="K12" s="297"/>
      <c r="L12" s="297"/>
      <c r="M12" s="499"/>
      <c r="N12" s="499"/>
      <c r="O12" s="499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9"/>
      <c r="AI12" s="296"/>
      <c r="AJ12" s="499"/>
      <c r="AK12" s="499">
        <f t="shared" si="0"/>
        <v>47</v>
      </c>
      <c r="AL12" s="499">
        <f t="shared" si="0"/>
        <v>13</v>
      </c>
      <c r="AM12" s="499">
        <f t="shared" si="0"/>
        <v>60</v>
      </c>
      <c r="AN12" s="298">
        <v>47</v>
      </c>
      <c r="AO12" s="298">
        <v>13</v>
      </c>
      <c r="AP12" s="298">
        <f t="shared" si="3"/>
        <v>60</v>
      </c>
      <c r="AQ12" s="499">
        <f t="shared" si="1"/>
        <v>0</v>
      </c>
      <c r="AR12" s="499">
        <f t="shared" si="1"/>
        <v>0</v>
      </c>
      <c r="AS12" s="499">
        <f t="shared" si="1"/>
        <v>0</v>
      </c>
      <c r="AT12" s="298">
        <v>47</v>
      </c>
      <c r="AU12" s="298">
        <v>13</v>
      </c>
      <c r="AV12" s="298">
        <f t="shared" si="4"/>
        <v>60</v>
      </c>
      <c r="AW12" s="298"/>
      <c r="AX12" s="298"/>
      <c r="AY12" s="298"/>
      <c r="AZ12" s="298">
        <v>47</v>
      </c>
      <c r="BA12" s="298">
        <v>13</v>
      </c>
      <c r="BB12" s="298">
        <v>60</v>
      </c>
      <c r="BC12" s="499">
        <f t="shared" si="2"/>
        <v>0</v>
      </c>
      <c r="BD12" s="499">
        <f t="shared" si="2"/>
        <v>-3</v>
      </c>
      <c r="BE12" s="499">
        <f t="shared" si="2"/>
        <v>-3</v>
      </c>
      <c r="BF12" s="298">
        <v>47</v>
      </c>
      <c r="BG12" s="298">
        <v>10</v>
      </c>
      <c r="BH12" s="298">
        <f>SUM(BF12:BG12)</f>
        <v>57</v>
      </c>
      <c r="BI12" s="712"/>
      <c r="BJ12" s="712"/>
      <c r="BK12" s="712"/>
      <c r="BL12" s="712"/>
      <c r="BM12" s="712"/>
      <c r="BN12" s="712"/>
      <c r="BO12" s="712"/>
      <c r="BP12" s="712"/>
      <c r="BQ12" s="712"/>
      <c r="BR12" s="712"/>
      <c r="BS12" s="712"/>
      <c r="BT12" s="712"/>
      <c r="BU12" s="712"/>
      <c r="BV12" s="712"/>
      <c r="BW12" s="712"/>
      <c r="BX12" s="712"/>
      <c r="BY12" s="300"/>
      <c r="BZ12" s="714"/>
      <c r="CA12" s="712"/>
      <c r="CB12" s="297">
        <v>47261</v>
      </c>
      <c r="CC12" s="297">
        <v>58</v>
      </c>
      <c r="CD12" s="712"/>
    </row>
    <row r="13" spans="1:82" ht="22.5" x14ac:dyDescent="0.2">
      <c r="A13" s="703"/>
      <c r="B13" s="292" t="s">
        <v>1359</v>
      </c>
      <c r="C13" s="293" t="s">
        <v>614</v>
      </c>
      <c r="D13" s="512"/>
      <c r="E13" s="716"/>
      <c r="F13" s="294" t="s">
        <v>615</v>
      </c>
      <c r="G13" s="295"/>
      <c r="H13" s="296"/>
      <c r="I13" s="499"/>
      <c r="J13" s="297"/>
      <c r="K13" s="297"/>
      <c r="L13" s="297"/>
      <c r="M13" s="499"/>
      <c r="N13" s="499"/>
      <c r="O13" s="499"/>
      <c r="P13" s="298"/>
      <c r="Q13" s="298"/>
      <c r="R13" s="298"/>
      <c r="S13" s="298"/>
      <c r="T13" s="298"/>
      <c r="U13" s="298"/>
      <c r="V13" s="298"/>
      <c r="W13" s="298"/>
      <c r="X13" s="298"/>
      <c r="Y13" s="298"/>
      <c r="Z13" s="298"/>
      <c r="AA13" s="298"/>
      <c r="AB13" s="298"/>
      <c r="AC13" s="298"/>
      <c r="AD13" s="298"/>
      <c r="AE13" s="298"/>
      <c r="AF13" s="298"/>
      <c r="AG13" s="298"/>
      <c r="AH13" s="299"/>
      <c r="AI13" s="296"/>
      <c r="AJ13" s="499"/>
      <c r="AK13" s="499">
        <f t="shared" si="0"/>
        <v>44</v>
      </c>
      <c r="AL13" s="499">
        <f t="shared" si="0"/>
        <v>12</v>
      </c>
      <c r="AM13" s="499">
        <f t="shared" si="0"/>
        <v>56</v>
      </c>
      <c r="AN13" s="298">
        <v>44</v>
      </c>
      <c r="AO13" s="298">
        <v>12</v>
      </c>
      <c r="AP13" s="298">
        <f t="shared" si="3"/>
        <v>56</v>
      </c>
      <c r="AQ13" s="499">
        <f t="shared" si="1"/>
        <v>0</v>
      </c>
      <c r="AR13" s="499">
        <f t="shared" si="1"/>
        <v>0</v>
      </c>
      <c r="AS13" s="499">
        <f t="shared" si="1"/>
        <v>0</v>
      </c>
      <c r="AT13" s="298">
        <v>44</v>
      </c>
      <c r="AU13" s="298">
        <v>12</v>
      </c>
      <c r="AV13" s="298">
        <f t="shared" si="4"/>
        <v>56</v>
      </c>
      <c r="AW13" s="298"/>
      <c r="AX13" s="298"/>
      <c r="AY13" s="298"/>
      <c r="AZ13" s="298">
        <v>44</v>
      </c>
      <c r="BA13" s="298">
        <v>12</v>
      </c>
      <c r="BB13" s="298">
        <v>56</v>
      </c>
      <c r="BC13" s="499">
        <f t="shared" si="2"/>
        <v>-21</v>
      </c>
      <c r="BD13" s="499">
        <f t="shared" si="2"/>
        <v>-6</v>
      </c>
      <c r="BE13" s="499">
        <f t="shared" si="2"/>
        <v>-27</v>
      </c>
      <c r="BF13" s="298">
        <v>23</v>
      </c>
      <c r="BG13" s="298">
        <v>6</v>
      </c>
      <c r="BH13" s="298">
        <f>SUM(BF13:BG13)</f>
        <v>29</v>
      </c>
      <c r="BI13" s="712"/>
      <c r="BJ13" s="712"/>
      <c r="BK13" s="712"/>
      <c r="BL13" s="712"/>
      <c r="BM13" s="712"/>
      <c r="BN13" s="712"/>
      <c r="BO13" s="712"/>
      <c r="BP13" s="712"/>
      <c r="BQ13" s="712"/>
      <c r="BR13" s="712"/>
      <c r="BS13" s="712"/>
      <c r="BT13" s="712"/>
      <c r="BU13" s="712"/>
      <c r="BV13" s="712"/>
      <c r="BW13" s="712"/>
      <c r="BX13" s="712"/>
      <c r="BY13" s="300"/>
      <c r="BZ13" s="714"/>
      <c r="CA13" s="712"/>
      <c r="CB13" s="297">
        <v>22808</v>
      </c>
      <c r="CC13" s="297">
        <v>29</v>
      </c>
      <c r="CD13" s="712"/>
    </row>
    <row r="14" spans="1:82" ht="22.5" x14ac:dyDescent="0.2">
      <c r="A14" s="703"/>
      <c r="B14" s="292" t="s">
        <v>1359</v>
      </c>
      <c r="C14" s="293" t="s">
        <v>616</v>
      </c>
      <c r="D14" s="512"/>
      <c r="E14" s="716"/>
      <c r="F14" s="294" t="s">
        <v>617</v>
      </c>
      <c r="G14" s="295"/>
      <c r="H14" s="296"/>
      <c r="I14" s="499"/>
      <c r="J14" s="297"/>
      <c r="K14" s="297"/>
      <c r="L14" s="297"/>
      <c r="M14" s="499"/>
      <c r="N14" s="499"/>
      <c r="O14" s="499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9"/>
      <c r="AI14" s="296"/>
      <c r="AJ14" s="499"/>
      <c r="AK14" s="499">
        <f t="shared" si="0"/>
        <v>57</v>
      </c>
      <c r="AL14" s="499">
        <f t="shared" si="0"/>
        <v>15</v>
      </c>
      <c r="AM14" s="499">
        <f t="shared" si="0"/>
        <v>72</v>
      </c>
      <c r="AN14" s="298">
        <v>57</v>
      </c>
      <c r="AO14" s="298">
        <v>15</v>
      </c>
      <c r="AP14" s="298">
        <f t="shared" si="3"/>
        <v>72</v>
      </c>
      <c r="AQ14" s="499">
        <f t="shared" si="1"/>
        <v>0</v>
      </c>
      <c r="AR14" s="499">
        <f t="shared" si="1"/>
        <v>0</v>
      </c>
      <c r="AS14" s="499">
        <f t="shared" si="1"/>
        <v>0</v>
      </c>
      <c r="AT14" s="298">
        <v>57</v>
      </c>
      <c r="AU14" s="298">
        <v>15</v>
      </c>
      <c r="AV14" s="298">
        <f t="shared" si="4"/>
        <v>72</v>
      </c>
      <c r="AW14" s="298"/>
      <c r="AX14" s="298"/>
      <c r="AY14" s="298"/>
      <c r="AZ14" s="298">
        <v>57</v>
      </c>
      <c r="BA14" s="298">
        <v>15</v>
      </c>
      <c r="BB14" s="298">
        <v>72</v>
      </c>
      <c r="BC14" s="499">
        <f t="shared" si="2"/>
        <v>0</v>
      </c>
      <c r="BD14" s="499">
        <f t="shared" si="2"/>
        <v>0</v>
      </c>
      <c r="BE14" s="499">
        <f t="shared" si="2"/>
        <v>0</v>
      </c>
      <c r="BF14" s="298">
        <v>57</v>
      </c>
      <c r="BG14" s="298">
        <v>15</v>
      </c>
      <c r="BH14" s="298">
        <v>72</v>
      </c>
      <c r="BI14" s="712"/>
      <c r="BJ14" s="712"/>
      <c r="BK14" s="712"/>
      <c r="BL14" s="712"/>
      <c r="BM14" s="712"/>
      <c r="BN14" s="712"/>
      <c r="BO14" s="712"/>
      <c r="BP14" s="712"/>
      <c r="BQ14" s="712"/>
      <c r="BR14" s="712"/>
      <c r="BS14" s="712"/>
      <c r="BT14" s="712"/>
      <c r="BU14" s="712"/>
      <c r="BV14" s="712"/>
      <c r="BW14" s="712"/>
      <c r="BX14" s="712"/>
      <c r="BY14" s="300"/>
      <c r="BZ14" s="714"/>
      <c r="CA14" s="712"/>
      <c r="CB14" s="297">
        <v>57250</v>
      </c>
      <c r="CC14" s="297">
        <v>73</v>
      </c>
      <c r="CD14" s="712"/>
    </row>
    <row r="15" spans="1:82" ht="22.5" x14ac:dyDescent="0.2">
      <c r="A15" s="703"/>
      <c r="B15" s="292" t="s">
        <v>1359</v>
      </c>
      <c r="C15" s="293" t="s">
        <v>618</v>
      </c>
      <c r="D15" s="303"/>
      <c r="E15" s="716"/>
      <c r="F15" s="294" t="s">
        <v>619</v>
      </c>
      <c r="G15" s="295"/>
      <c r="H15" s="296"/>
      <c r="I15" s="499"/>
      <c r="J15" s="499"/>
      <c r="K15" s="499"/>
      <c r="L15" s="499"/>
      <c r="M15" s="499"/>
      <c r="N15" s="499"/>
      <c r="O15" s="296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9"/>
      <c r="AI15" s="296"/>
      <c r="AJ15" s="499"/>
      <c r="AK15" s="499">
        <f t="shared" si="0"/>
        <v>1803</v>
      </c>
      <c r="AL15" s="499">
        <f t="shared" si="0"/>
        <v>487</v>
      </c>
      <c r="AM15" s="499">
        <f t="shared" si="0"/>
        <v>2290</v>
      </c>
      <c r="AN15" s="298">
        <v>1803</v>
      </c>
      <c r="AO15" s="298">
        <v>487</v>
      </c>
      <c r="AP15" s="298">
        <f t="shared" si="3"/>
        <v>2290</v>
      </c>
      <c r="AQ15" s="499">
        <f t="shared" si="1"/>
        <v>0</v>
      </c>
      <c r="AR15" s="499">
        <f t="shared" si="1"/>
        <v>0</v>
      </c>
      <c r="AS15" s="499">
        <f t="shared" si="1"/>
        <v>0</v>
      </c>
      <c r="AT15" s="298">
        <v>1803</v>
      </c>
      <c r="AU15" s="298">
        <v>487</v>
      </c>
      <c r="AV15" s="298">
        <f t="shared" si="4"/>
        <v>2290</v>
      </c>
      <c r="AW15" s="298"/>
      <c r="AX15" s="298"/>
      <c r="AY15" s="298"/>
      <c r="AZ15" s="298">
        <v>1803</v>
      </c>
      <c r="BA15" s="298">
        <v>487</v>
      </c>
      <c r="BB15" s="298">
        <v>2290</v>
      </c>
      <c r="BC15" s="499">
        <f t="shared" si="2"/>
        <v>0</v>
      </c>
      <c r="BD15" s="499">
        <f t="shared" si="2"/>
        <v>0</v>
      </c>
      <c r="BE15" s="499">
        <f t="shared" si="2"/>
        <v>0</v>
      </c>
      <c r="BF15" s="298">
        <v>1803</v>
      </c>
      <c r="BG15" s="298">
        <v>487</v>
      </c>
      <c r="BH15" s="298">
        <v>2290</v>
      </c>
      <c r="BI15" s="712"/>
      <c r="BJ15" s="712"/>
      <c r="BK15" s="712"/>
      <c r="BL15" s="712"/>
      <c r="BM15" s="712"/>
      <c r="BN15" s="712"/>
      <c r="BO15" s="712"/>
      <c r="BP15" s="712"/>
      <c r="BQ15" s="712"/>
      <c r="BR15" s="712"/>
      <c r="BS15" s="712"/>
      <c r="BT15" s="712"/>
      <c r="BU15" s="712"/>
      <c r="BV15" s="712"/>
      <c r="BW15" s="712"/>
      <c r="BX15" s="712"/>
      <c r="BY15" s="298"/>
      <c r="BZ15" s="714"/>
      <c r="CA15" s="712"/>
      <c r="CB15" s="297">
        <v>1803333</v>
      </c>
      <c r="CC15" s="297">
        <v>2290</v>
      </c>
      <c r="CD15" s="712"/>
    </row>
    <row r="16" spans="1:82" x14ac:dyDescent="0.2">
      <c r="A16" s="703"/>
      <c r="B16" s="292" t="s">
        <v>1359</v>
      </c>
      <c r="C16" s="293" t="s">
        <v>620</v>
      </c>
      <c r="D16" s="512"/>
      <c r="E16" s="716"/>
      <c r="F16" s="294" t="s">
        <v>621</v>
      </c>
      <c r="G16" s="295"/>
      <c r="H16" s="296"/>
      <c r="I16" s="499"/>
      <c r="J16" s="297"/>
      <c r="K16" s="297"/>
      <c r="L16" s="297"/>
      <c r="M16" s="499"/>
      <c r="N16" s="499"/>
      <c r="O16" s="296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9"/>
      <c r="AI16" s="296"/>
      <c r="AJ16" s="499"/>
      <c r="AK16" s="499">
        <f t="shared" si="0"/>
        <v>169</v>
      </c>
      <c r="AL16" s="499">
        <f t="shared" si="0"/>
        <v>46</v>
      </c>
      <c r="AM16" s="499">
        <f t="shared" si="0"/>
        <v>215</v>
      </c>
      <c r="AN16" s="298">
        <v>169</v>
      </c>
      <c r="AO16" s="298">
        <v>46</v>
      </c>
      <c r="AP16" s="298">
        <f t="shared" si="3"/>
        <v>215</v>
      </c>
      <c r="AQ16" s="499">
        <f t="shared" si="1"/>
        <v>0</v>
      </c>
      <c r="AR16" s="499">
        <f t="shared" si="1"/>
        <v>0</v>
      </c>
      <c r="AS16" s="499">
        <f t="shared" si="1"/>
        <v>0</v>
      </c>
      <c r="AT16" s="298">
        <v>169</v>
      </c>
      <c r="AU16" s="298">
        <v>46</v>
      </c>
      <c r="AV16" s="298">
        <f t="shared" si="4"/>
        <v>215</v>
      </c>
      <c r="AW16" s="298"/>
      <c r="AX16" s="298"/>
      <c r="AY16" s="298"/>
      <c r="AZ16" s="298">
        <v>169</v>
      </c>
      <c r="BA16" s="298">
        <v>46</v>
      </c>
      <c r="BB16" s="298">
        <v>215</v>
      </c>
      <c r="BC16" s="499">
        <f t="shared" si="2"/>
        <v>0</v>
      </c>
      <c r="BD16" s="499">
        <f t="shared" si="2"/>
        <v>0</v>
      </c>
      <c r="BE16" s="499">
        <f t="shared" si="2"/>
        <v>0</v>
      </c>
      <c r="BF16" s="298">
        <v>169</v>
      </c>
      <c r="BG16" s="298">
        <v>46</v>
      </c>
      <c r="BH16" s="298">
        <v>215</v>
      </c>
      <c r="BI16" s="712"/>
      <c r="BJ16" s="712"/>
      <c r="BK16" s="712"/>
      <c r="BL16" s="712"/>
      <c r="BM16" s="712"/>
      <c r="BN16" s="712"/>
      <c r="BO16" s="712"/>
      <c r="BP16" s="712"/>
      <c r="BQ16" s="712"/>
      <c r="BR16" s="712"/>
      <c r="BS16" s="712"/>
      <c r="BT16" s="712"/>
      <c r="BU16" s="712"/>
      <c r="BV16" s="712"/>
      <c r="BW16" s="712"/>
      <c r="BX16" s="712"/>
      <c r="BY16" s="300"/>
      <c r="BZ16" s="714"/>
      <c r="CA16" s="712"/>
      <c r="CB16" s="297">
        <v>169413</v>
      </c>
      <c r="CC16" s="297">
        <v>215</v>
      </c>
      <c r="CD16" s="712"/>
    </row>
    <row r="17" spans="1:91" s="304" customFormat="1" x14ac:dyDescent="0.2">
      <c r="A17" s="703"/>
      <c r="B17" s="292" t="s">
        <v>1359</v>
      </c>
      <c r="C17" s="293" t="s">
        <v>622</v>
      </c>
      <c r="D17" s="512"/>
      <c r="E17" s="716"/>
      <c r="F17" s="294" t="s">
        <v>623</v>
      </c>
      <c r="G17" s="295"/>
      <c r="H17" s="296"/>
      <c r="I17" s="499"/>
      <c r="J17" s="297"/>
      <c r="K17" s="297"/>
      <c r="L17" s="297"/>
      <c r="M17" s="499"/>
      <c r="N17" s="499"/>
      <c r="O17" s="296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9"/>
      <c r="AI17" s="296"/>
      <c r="AJ17" s="499"/>
      <c r="AK17" s="499">
        <f t="shared" si="0"/>
        <v>13</v>
      </c>
      <c r="AL17" s="499">
        <f t="shared" si="0"/>
        <v>3</v>
      </c>
      <c r="AM17" s="499">
        <f t="shared" si="0"/>
        <v>16</v>
      </c>
      <c r="AN17" s="298">
        <v>13</v>
      </c>
      <c r="AO17" s="298">
        <v>3</v>
      </c>
      <c r="AP17" s="298">
        <f t="shared" si="3"/>
        <v>16</v>
      </c>
      <c r="AQ17" s="499">
        <f t="shared" si="1"/>
        <v>0</v>
      </c>
      <c r="AR17" s="499">
        <f t="shared" si="1"/>
        <v>0</v>
      </c>
      <c r="AS17" s="499">
        <f t="shared" si="1"/>
        <v>0</v>
      </c>
      <c r="AT17" s="298">
        <v>13</v>
      </c>
      <c r="AU17" s="298">
        <v>3</v>
      </c>
      <c r="AV17" s="298">
        <f t="shared" si="4"/>
        <v>16</v>
      </c>
      <c r="AW17" s="298"/>
      <c r="AX17" s="298"/>
      <c r="AY17" s="298"/>
      <c r="AZ17" s="298">
        <v>13</v>
      </c>
      <c r="BA17" s="298">
        <v>3</v>
      </c>
      <c r="BB17" s="298">
        <v>16</v>
      </c>
      <c r="BC17" s="499">
        <f t="shared" si="2"/>
        <v>0</v>
      </c>
      <c r="BD17" s="499">
        <f t="shared" si="2"/>
        <v>0</v>
      </c>
      <c r="BE17" s="499">
        <f t="shared" si="2"/>
        <v>0</v>
      </c>
      <c r="BF17" s="298">
        <v>13</v>
      </c>
      <c r="BG17" s="298">
        <v>3</v>
      </c>
      <c r="BH17" s="298">
        <v>16</v>
      </c>
      <c r="BI17" s="712"/>
      <c r="BJ17" s="712"/>
      <c r="BK17" s="712"/>
      <c r="BL17" s="712"/>
      <c r="BM17" s="712"/>
      <c r="BN17" s="712"/>
      <c r="BO17" s="712"/>
      <c r="BP17" s="712"/>
      <c r="BQ17" s="712"/>
      <c r="BR17" s="712"/>
      <c r="BS17" s="712"/>
      <c r="BT17" s="712"/>
      <c r="BU17" s="712"/>
      <c r="BV17" s="712"/>
      <c r="BW17" s="712"/>
      <c r="BX17" s="712"/>
      <c r="BY17" s="300"/>
      <c r="BZ17" s="714"/>
      <c r="CA17" s="712"/>
      <c r="CB17" s="297">
        <v>12967</v>
      </c>
      <c r="CC17" s="297">
        <v>16</v>
      </c>
      <c r="CD17" s="712"/>
      <c r="CE17" s="313"/>
      <c r="CF17" s="313"/>
      <c r="CG17" s="313"/>
      <c r="CH17" s="313"/>
      <c r="CI17" s="313"/>
      <c r="CJ17" s="313"/>
      <c r="CK17" s="313"/>
      <c r="CL17" s="313"/>
      <c r="CM17" s="313"/>
    </row>
    <row r="18" spans="1:91" s="304" customFormat="1" ht="22.5" x14ac:dyDescent="0.2">
      <c r="A18" s="703"/>
      <c r="B18" s="292" t="s">
        <v>1359</v>
      </c>
      <c r="C18" s="293" t="s">
        <v>1145</v>
      </c>
      <c r="D18" s="512"/>
      <c r="E18" s="716"/>
      <c r="F18" s="294" t="s">
        <v>1146</v>
      </c>
      <c r="G18" s="295"/>
      <c r="H18" s="296"/>
      <c r="I18" s="499"/>
      <c r="J18" s="297"/>
      <c r="K18" s="297"/>
      <c r="L18" s="297"/>
      <c r="M18" s="499"/>
      <c r="N18" s="499"/>
      <c r="O18" s="296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  <c r="AA18" s="298"/>
      <c r="AB18" s="298"/>
      <c r="AC18" s="298"/>
      <c r="AD18" s="298"/>
      <c r="AE18" s="298"/>
      <c r="AF18" s="298"/>
      <c r="AG18" s="298"/>
      <c r="AH18" s="299"/>
      <c r="AI18" s="296"/>
      <c r="AJ18" s="499"/>
      <c r="AK18" s="499"/>
      <c r="AL18" s="499"/>
      <c r="AM18" s="499"/>
      <c r="AN18" s="298"/>
      <c r="AO18" s="298"/>
      <c r="AP18" s="298"/>
      <c r="AQ18" s="499">
        <f t="shared" si="1"/>
        <v>11</v>
      </c>
      <c r="AR18" s="499">
        <f t="shared" si="1"/>
        <v>3</v>
      </c>
      <c r="AS18" s="499">
        <f t="shared" si="1"/>
        <v>14</v>
      </c>
      <c r="AT18" s="298">
        <v>11</v>
      </c>
      <c r="AU18" s="298">
        <v>3</v>
      </c>
      <c r="AV18" s="298">
        <f t="shared" si="4"/>
        <v>14</v>
      </c>
      <c r="AW18" s="298"/>
      <c r="AX18" s="298"/>
      <c r="AY18" s="298"/>
      <c r="AZ18" s="298">
        <v>11</v>
      </c>
      <c r="BA18" s="298">
        <v>3</v>
      </c>
      <c r="BB18" s="298">
        <v>14</v>
      </c>
      <c r="BC18" s="499">
        <f t="shared" si="2"/>
        <v>0</v>
      </c>
      <c r="BD18" s="499">
        <f t="shared" si="2"/>
        <v>0</v>
      </c>
      <c r="BE18" s="499">
        <f t="shared" si="2"/>
        <v>0</v>
      </c>
      <c r="BF18" s="298">
        <v>11</v>
      </c>
      <c r="BG18" s="298">
        <v>3</v>
      </c>
      <c r="BH18" s="298">
        <v>14</v>
      </c>
      <c r="BI18" s="712"/>
      <c r="BJ18" s="712"/>
      <c r="BK18" s="712"/>
      <c r="BL18" s="712"/>
      <c r="BM18" s="712"/>
      <c r="BN18" s="712"/>
      <c r="BO18" s="712"/>
      <c r="BP18" s="712"/>
      <c r="BQ18" s="712"/>
      <c r="BR18" s="712"/>
      <c r="BS18" s="712"/>
      <c r="BT18" s="712"/>
      <c r="BU18" s="712"/>
      <c r="BV18" s="712"/>
      <c r="BW18" s="712"/>
      <c r="BX18" s="712"/>
      <c r="BY18" s="300"/>
      <c r="BZ18" s="714"/>
      <c r="CA18" s="712"/>
      <c r="CB18" s="297">
        <v>11378</v>
      </c>
      <c r="CC18" s="297">
        <v>14</v>
      </c>
      <c r="CD18" s="712"/>
      <c r="CE18" s="313"/>
      <c r="CF18" s="313"/>
      <c r="CG18" s="313"/>
      <c r="CH18" s="313"/>
      <c r="CI18" s="313"/>
      <c r="CJ18" s="313"/>
      <c r="CK18" s="313"/>
      <c r="CL18" s="313"/>
      <c r="CM18" s="313"/>
    </row>
    <row r="19" spans="1:91" s="304" customFormat="1" x14ac:dyDescent="0.2">
      <c r="A19" s="703"/>
      <c r="B19" s="292" t="s">
        <v>1359</v>
      </c>
      <c r="C19" s="293" t="s">
        <v>1147</v>
      </c>
      <c r="D19" s="512"/>
      <c r="E19" s="716"/>
      <c r="F19" s="294" t="s">
        <v>1148</v>
      </c>
      <c r="G19" s="295"/>
      <c r="H19" s="296"/>
      <c r="I19" s="499"/>
      <c r="J19" s="297"/>
      <c r="K19" s="297"/>
      <c r="L19" s="297"/>
      <c r="M19" s="499"/>
      <c r="N19" s="499"/>
      <c r="O19" s="296"/>
      <c r="P19" s="298"/>
      <c r="Q19" s="298"/>
      <c r="R19" s="298"/>
      <c r="S19" s="298"/>
      <c r="T19" s="298"/>
      <c r="U19" s="298"/>
      <c r="V19" s="298"/>
      <c r="W19" s="298"/>
      <c r="X19" s="298"/>
      <c r="Y19" s="298"/>
      <c r="Z19" s="298"/>
      <c r="AA19" s="298"/>
      <c r="AB19" s="298"/>
      <c r="AC19" s="298"/>
      <c r="AD19" s="298"/>
      <c r="AE19" s="298"/>
      <c r="AF19" s="298"/>
      <c r="AG19" s="298"/>
      <c r="AH19" s="299"/>
      <c r="AI19" s="296"/>
      <c r="AJ19" s="499"/>
      <c r="AK19" s="499"/>
      <c r="AL19" s="499"/>
      <c r="AM19" s="499"/>
      <c r="AN19" s="298"/>
      <c r="AO19" s="298"/>
      <c r="AP19" s="298"/>
      <c r="AQ19" s="499">
        <f t="shared" si="1"/>
        <v>39</v>
      </c>
      <c r="AR19" s="499">
        <f t="shared" si="1"/>
        <v>11</v>
      </c>
      <c r="AS19" s="499">
        <f t="shared" si="1"/>
        <v>50</v>
      </c>
      <c r="AT19" s="298">
        <v>39</v>
      </c>
      <c r="AU19" s="298">
        <v>11</v>
      </c>
      <c r="AV19" s="298">
        <f t="shared" si="4"/>
        <v>50</v>
      </c>
      <c r="AW19" s="298"/>
      <c r="AX19" s="298"/>
      <c r="AY19" s="298"/>
      <c r="AZ19" s="298">
        <v>39</v>
      </c>
      <c r="BA19" s="298">
        <v>11</v>
      </c>
      <c r="BB19" s="298">
        <v>50</v>
      </c>
      <c r="BC19" s="499">
        <f t="shared" si="2"/>
        <v>0</v>
      </c>
      <c r="BD19" s="499">
        <f t="shared" si="2"/>
        <v>0</v>
      </c>
      <c r="BE19" s="499">
        <f t="shared" si="2"/>
        <v>0</v>
      </c>
      <c r="BF19" s="298">
        <v>39</v>
      </c>
      <c r="BG19" s="298">
        <v>11</v>
      </c>
      <c r="BH19" s="298">
        <f t="shared" ref="BH19:BH29" si="5">SUM(BF19:BG19)</f>
        <v>50</v>
      </c>
      <c r="BI19" s="712"/>
      <c r="BJ19" s="712"/>
      <c r="BK19" s="712"/>
      <c r="BL19" s="712"/>
      <c r="BM19" s="712"/>
      <c r="BN19" s="712"/>
      <c r="BO19" s="712"/>
      <c r="BP19" s="712"/>
      <c r="BQ19" s="712"/>
      <c r="BR19" s="712"/>
      <c r="BS19" s="712"/>
      <c r="BT19" s="712"/>
      <c r="BU19" s="712"/>
      <c r="BV19" s="712"/>
      <c r="BW19" s="712"/>
      <c r="BX19" s="712"/>
      <c r="BY19" s="300"/>
      <c r="BZ19" s="714"/>
      <c r="CA19" s="712"/>
      <c r="CB19" s="297">
        <v>39291</v>
      </c>
      <c r="CC19" s="297">
        <v>50</v>
      </c>
      <c r="CD19" s="712"/>
      <c r="CE19" s="313"/>
      <c r="CF19" s="313"/>
      <c r="CG19" s="313"/>
      <c r="CH19" s="313"/>
      <c r="CI19" s="313"/>
      <c r="CJ19" s="313"/>
      <c r="CK19" s="313"/>
      <c r="CL19" s="313"/>
      <c r="CM19" s="313"/>
    </row>
    <row r="20" spans="1:91" s="304" customFormat="1" x14ac:dyDescent="0.2">
      <c r="A20" s="703"/>
      <c r="B20" s="292" t="s">
        <v>1359</v>
      </c>
      <c r="C20" s="293" t="s">
        <v>1363</v>
      </c>
      <c r="D20" s="512"/>
      <c r="E20" s="716"/>
      <c r="F20" s="294" t="s">
        <v>1364</v>
      </c>
      <c r="G20" s="295"/>
      <c r="H20" s="296"/>
      <c r="I20" s="499"/>
      <c r="J20" s="297"/>
      <c r="K20" s="297"/>
      <c r="L20" s="297"/>
      <c r="M20" s="499"/>
      <c r="N20" s="499"/>
      <c r="O20" s="296"/>
      <c r="P20" s="298"/>
      <c r="Q20" s="298"/>
      <c r="R20" s="298"/>
      <c r="S20" s="298"/>
      <c r="T20" s="298"/>
      <c r="U20" s="298"/>
      <c r="V20" s="298"/>
      <c r="W20" s="298"/>
      <c r="X20" s="298"/>
      <c r="Y20" s="298"/>
      <c r="Z20" s="298"/>
      <c r="AA20" s="298"/>
      <c r="AB20" s="298"/>
      <c r="AC20" s="298"/>
      <c r="AD20" s="298"/>
      <c r="AE20" s="298"/>
      <c r="AF20" s="298"/>
      <c r="AG20" s="298"/>
      <c r="AH20" s="299"/>
      <c r="AI20" s="296"/>
      <c r="AJ20" s="499"/>
      <c r="AK20" s="499"/>
      <c r="AL20" s="499"/>
      <c r="AM20" s="499"/>
      <c r="AN20" s="298"/>
      <c r="AO20" s="298"/>
      <c r="AP20" s="298"/>
      <c r="AQ20" s="499"/>
      <c r="AR20" s="499"/>
      <c r="AS20" s="499"/>
      <c r="AT20" s="298"/>
      <c r="AU20" s="298"/>
      <c r="AV20" s="298"/>
      <c r="AW20" s="298"/>
      <c r="AX20" s="298"/>
      <c r="AY20" s="298"/>
      <c r="AZ20" s="298"/>
      <c r="BA20" s="298"/>
      <c r="BB20" s="298"/>
      <c r="BC20" s="499">
        <f t="shared" si="2"/>
        <v>27</v>
      </c>
      <c r="BD20" s="499">
        <f t="shared" si="2"/>
        <v>7</v>
      </c>
      <c r="BE20" s="499">
        <f t="shared" si="2"/>
        <v>34</v>
      </c>
      <c r="BF20" s="298">
        <v>27</v>
      </c>
      <c r="BG20" s="298">
        <v>7</v>
      </c>
      <c r="BH20" s="298">
        <f t="shared" si="5"/>
        <v>34</v>
      </c>
      <c r="BI20" s="712"/>
      <c r="BJ20" s="712"/>
      <c r="BK20" s="712"/>
      <c r="BL20" s="712"/>
      <c r="BM20" s="712"/>
      <c r="BN20" s="712"/>
      <c r="BO20" s="712"/>
      <c r="BP20" s="712"/>
      <c r="BQ20" s="712"/>
      <c r="BR20" s="712"/>
      <c r="BS20" s="712"/>
      <c r="BT20" s="712"/>
      <c r="BU20" s="712"/>
      <c r="BV20" s="712"/>
      <c r="BW20" s="712"/>
      <c r="BX20" s="712"/>
      <c r="BY20" s="300"/>
      <c r="BZ20" s="714"/>
      <c r="CA20" s="712"/>
      <c r="CB20" s="297">
        <v>26674</v>
      </c>
      <c r="CC20" s="297">
        <v>33</v>
      </c>
      <c r="CD20" s="712"/>
      <c r="CE20" s="313"/>
      <c r="CF20" s="313"/>
      <c r="CG20" s="313"/>
      <c r="CH20" s="313"/>
      <c r="CI20" s="313"/>
      <c r="CJ20" s="313"/>
      <c r="CK20" s="313"/>
      <c r="CL20" s="313"/>
      <c r="CM20" s="313"/>
    </row>
    <row r="21" spans="1:91" s="304" customFormat="1" x14ac:dyDescent="0.2">
      <c r="A21" s="703"/>
      <c r="B21" s="292" t="s">
        <v>603</v>
      </c>
      <c r="C21" s="293" t="s">
        <v>1143</v>
      </c>
      <c r="D21" s="512"/>
      <c r="E21" s="716"/>
      <c r="F21" s="302" t="s">
        <v>1149</v>
      </c>
      <c r="G21" s="295"/>
      <c r="H21" s="296"/>
      <c r="I21" s="499"/>
      <c r="J21" s="297"/>
      <c r="K21" s="297"/>
      <c r="L21" s="297"/>
      <c r="M21" s="499"/>
      <c r="N21" s="499"/>
      <c r="O21" s="499"/>
      <c r="P21" s="298"/>
      <c r="Q21" s="298"/>
      <c r="R21" s="298"/>
      <c r="S21" s="298"/>
      <c r="T21" s="298"/>
      <c r="U21" s="298"/>
      <c r="V21" s="298"/>
      <c r="W21" s="298"/>
      <c r="X21" s="298"/>
      <c r="Y21" s="298"/>
      <c r="Z21" s="298"/>
      <c r="AA21" s="298"/>
      <c r="AB21" s="298"/>
      <c r="AC21" s="298"/>
      <c r="AD21" s="298"/>
      <c r="AE21" s="298"/>
      <c r="AF21" s="298"/>
      <c r="AG21" s="298"/>
      <c r="AH21" s="299">
        <v>50</v>
      </c>
      <c r="AI21" s="296">
        <v>14</v>
      </c>
      <c r="AJ21" s="499">
        <f>SUM(AH21:AI21)</f>
        <v>64</v>
      </c>
      <c r="AK21" s="298">
        <f t="shared" si="0"/>
        <v>0</v>
      </c>
      <c r="AL21" s="298">
        <f t="shared" si="0"/>
        <v>0</v>
      </c>
      <c r="AM21" s="298">
        <f t="shared" si="0"/>
        <v>0</v>
      </c>
      <c r="AN21" s="298">
        <v>50</v>
      </c>
      <c r="AO21" s="298">
        <v>14</v>
      </c>
      <c r="AP21" s="298">
        <f>SUM(AN21:AO21)</f>
        <v>64</v>
      </c>
      <c r="AQ21" s="298">
        <f t="shared" si="1"/>
        <v>-39</v>
      </c>
      <c r="AR21" s="298">
        <f t="shared" si="1"/>
        <v>-11</v>
      </c>
      <c r="AS21" s="298">
        <f t="shared" si="1"/>
        <v>-50</v>
      </c>
      <c r="AT21" s="499">
        <f>AN21-AQ22</f>
        <v>11</v>
      </c>
      <c r="AU21" s="499">
        <f>AO21-AR22</f>
        <v>3</v>
      </c>
      <c r="AV21" s="499">
        <f>AP21-AS22</f>
        <v>14</v>
      </c>
      <c r="AW21" s="499"/>
      <c r="AX21" s="499"/>
      <c r="AY21" s="499"/>
      <c r="AZ21" s="499">
        <v>11</v>
      </c>
      <c r="BA21" s="499">
        <v>3</v>
      </c>
      <c r="BB21" s="499">
        <v>14</v>
      </c>
      <c r="BC21" s="499">
        <f t="shared" si="2"/>
        <v>-11</v>
      </c>
      <c r="BD21" s="499">
        <f t="shared" si="2"/>
        <v>-3</v>
      </c>
      <c r="BE21" s="499">
        <f t="shared" si="2"/>
        <v>-14</v>
      </c>
      <c r="BF21" s="499">
        <v>0</v>
      </c>
      <c r="BG21" s="499">
        <v>0</v>
      </c>
      <c r="BH21" s="499">
        <f t="shared" si="5"/>
        <v>0</v>
      </c>
      <c r="BI21" s="712"/>
      <c r="BJ21" s="712"/>
      <c r="BK21" s="712"/>
      <c r="BL21" s="712"/>
      <c r="BM21" s="712"/>
      <c r="BN21" s="712"/>
      <c r="BO21" s="712"/>
      <c r="BP21" s="712"/>
      <c r="BQ21" s="712"/>
      <c r="BR21" s="712"/>
      <c r="BS21" s="712"/>
      <c r="BT21" s="712"/>
      <c r="BU21" s="712"/>
      <c r="BV21" s="712"/>
      <c r="BW21" s="712"/>
      <c r="BX21" s="712"/>
      <c r="BY21" s="300"/>
      <c r="BZ21" s="714"/>
      <c r="CA21" s="712"/>
      <c r="CB21" s="297">
        <v>0</v>
      </c>
      <c r="CC21" s="297">
        <v>0</v>
      </c>
      <c r="CD21" s="712"/>
      <c r="CE21" s="313"/>
      <c r="CF21" s="313"/>
      <c r="CG21" s="313"/>
      <c r="CH21" s="313"/>
      <c r="CI21" s="313"/>
      <c r="CJ21" s="313"/>
      <c r="CK21" s="313"/>
      <c r="CL21" s="313"/>
      <c r="CM21" s="313"/>
    </row>
    <row r="22" spans="1:91" s="304" customFormat="1" ht="22.5" x14ac:dyDescent="0.2">
      <c r="A22" s="703"/>
      <c r="B22" s="292" t="s">
        <v>1359</v>
      </c>
      <c r="C22" s="293" t="s">
        <v>1150</v>
      </c>
      <c r="D22" s="512"/>
      <c r="E22" s="716"/>
      <c r="F22" s="294" t="s">
        <v>1151</v>
      </c>
      <c r="G22" s="295"/>
      <c r="H22" s="296"/>
      <c r="I22" s="499"/>
      <c r="J22" s="297"/>
      <c r="K22" s="297"/>
      <c r="L22" s="297"/>
      <c r="M22" s="499"/>
      <c r="N22" s="499"/>
      <c r="O22" s="296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9"/>
      <c r="AI22" s="296"/>
      <c r="AJ22" s="499"/>
      <c r="AK22" s="298"/>
      <c r="AL22" s="298"/>
      <c r="AM22" s="298"/>
      <c r="AN22" s="298"/>
      <c r="AO22" s="298"/>
      <c r="AP22" s="298"/>
      <c r="AQ22" s="499">
        <f t="shared" si="1"/>
        <v>39</v>
      </c>
      <c r="AR22" s="499">
        <f t="shared" si="1"/>
        <v>11</v>
      </c>
      <c r="AS22" s="499">
        <f t="shared" si="1"/>
        <v>50</v>
      </c>
      <c r="AT22" s="298">
        <v>39</v>
      </c>
      <c r="AU22" s="298">
        <v>11</v>
      </c>
      <c r="AV22" s="298">
        <f>SUM(AT22:AU22)</f>
        <v>50</v>
      </c>
      <c r="AW22" s="298"/>
      <c r="AX22" s="298"/>
      <c r="AY22" s="298"/>
      <c r="AZ22" s="298">
        <v>39</v>
      </c>
      <c r="BA22" s="298">
        <v>11</v>
      </c>
      <c r="BB22" s="298">
        <v>50</v>
      </c>
      <c r="BC22" s="499">
        <f t="shared" si="2"/>
        <v>0</v>
      </c>
      <c r="BD22" s="499">
        <f t="shared" si="2"/>
        <v>0</v>
      </c>
      <c r="BE22" s="499">
        <f t="shared" si="2"/>
        <v>0</v>
      </c>
      <c r="BF22" s="298">
        <v>39</v>
      </c>
      <c r="BG22" s="298">
        <v>11</v>
      </c>
      <c r="BH22" s="298">
        <f t="shared" si="5"/>
        <v>50</v>
      </c>
      <c r="BI22" s="712"/>
      <c r="BJ22" s="712"/>
      <c r="BK22" s="712"/>
      <c r="BL22" s="712"/>
      <c r="BM22" s="712"/>
      <c r="BN22" s="712"/>
      <c r="BO22" s="712"/>
      <c r="BP22" s="712"/>
      <c r="BQ22" s="712"/>
      <c r="BR22" s="712"/>
      <c r="BS22" s="712"/>
      <c r="BT22" s="712"/>
      <c r="BU22" s="712"/>
      <c r="BV22" s="712"/>
      <c r="BW22" s="712"/>
      <c r="BX22" s="712"/>
      <c r="BY22" s="300"/>
      <c r="BZ22" s="714"/>
      <c r="CA22" s="712"/>
      <c r="CB22" s="297">
        <v>39123</v>
      </c>
      <c r="CC22" s="297">
        <v>50</v>
      </c>
      <c r="CD22" s="712"/>
      <c r="CE22" s="313"/>
      <c r="CF22" s="313"/>
      <c r="CG22" s="313"/>
      <c r="CH22" s="313"/>
      <c r="CI22" s="313"/>
      <c r="CJ22" s="313"/>
      <c r="CK22" s="313"/>
      <c r="CL22" s="313"/>
      <c r="CM22" s="313"/>
    </row>
    <row r="23" spans="1:91" s="304" customFormat="1" ht="22.5" x14ac:dyDescent="0.2">
      <c r="A23" s="703"/>
      <c r="B23" s="292" t="s">
        <v>1359</v>
      </c>
      <c r="C23" s="293"/>
      <c r="D23" s="512"/>
      <c r="E23" s="716"/>
      <c r="F23" s="294" t="s">
        <v>1365</v>
      </c>
      <c r="G23" s="295"/>
      <c r="H23" s="296"/>
      <c r="I23" s="499"/>
      <c r="J23" s="297"/>
      <c r="K23" s="297"/>
      <c r="L23" s="297"/>
      <c r="M23" s="499"/>
      <c r="N23" s="499"/>
      <c r="O23" s="296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505" t="s">
        <v>1725</v>
      </c>
      <c r="AE23" s="298"/>
      <c r="AF23" s="298"/>
      <c r="AG23" s="298"/>
      <c r="AH23" s="299"/>
      <c r="AI23" s="296"/>
      <c r="AJ23" s="499"/>
      <c r="AK23" s="298"/>
      <c r="AL23" s="298"/>
      <c r="AM23" s="298"/>
      <c r="AN23" s="298"/>
      <c r="AO23" s="298"/>
      <c r="AP23" s="298"/>
      <c r="AQ23" s="499"/>
      <c r="AR23" s="499"/>
      <c r="AS23" s="499"/>
      <c r="AT23" s="298"/>
      <c r="AU23" s="298"/>
      <c r="AV23" s="298"/>
      <c r="AW23" s="298"/>
      <c r="AX23" s="298"/>
      <c r="AY23" s="298"/>
      <c r="AZ23" s="298"/>
      <c r="BA23" s="298"/>
      <c r="BB23" s="298"/>
      <c r="BC23" s="499">
        <f t="shared" si="2"/>
        <v>93</v>
      </c>
      <c r="BD23" s="499">
        <f t="shared" si="2"/>
        <v>0</v>
      </c>
      <c r="BE23" s="499">
        <f t="shared" si="2"/>
        <v>93</v>
      </c>
      <c r="BF23" s="298">
        <v>93</v>
      </c>
      <c r="BG23" s="298"/>
      <c r="BH23" s="298">
        <f t="shared" si="5"/>
        <v>93</v>
      </c>
      <c r="BI23" s="712"/>
      <c r="BJ23" s="712"/>
      <c r="BK23" s="712"/>
      <c r="BL23" s="712"/>
      <c r="BM23" s="712"/>
      <c r="BN23" s="712"/>
      <c r="BO23" s="712"/>
      <c r="BP23" s="712"/>
      <c r="BQ23" s="712"/>
      <c r="BR23" s="712"/>
      <c r="BS23" s="712"/>
      <c r="BT23" s="712"/>
      <c r="BU23" s="712"/>
      <c r="BV23" s="712"/>
      <c r="BW23" s="712"/>
      <c r="BX23" s="712"/>
      <c r="BY23" s="300"/>
      <c r="BZ23" s="714"/>
      <c r="CA23" s="712"/>
      <c r="CB23" s="297"/>
      <c r="CC23" s="297">
        <v>93</v>
      </c>
      <c r="CD23" s="712"/>
      <c r="CE23" s="313"/>
      <c r="CF23" s="313"/>
      <c r="CG23" s="313"/>
      <c r="CH23" s="313"/>
      <c r="CI23" s="313"/>
      <c r="CJ23" s="313"/>
      <c r="CK23" s="313"/>
      <c r="CL23" s="313"/>
      <c r="CM23" s="313"/>
    </row>
    <row r="24" spans="1:91" s="304" customFormat="1" x14ac:dyDescent="0.2">
      <c r="A24" s="703"/>
      <c r="B24" s="292" t="s">
        <v>1359</v>
      </c>
      <c r="C24" s="293" t="s">
        <v>1143</v>
      </c>
      <c r="D24" s="512"/>
      <c r="E24" s="716"/>
      <c r="F24" s="302" t="s">
        <v>624</v>
      </c>
      <c r="G24" s="295"/>
      <c r="H24" s="296"/>
      <c r="I24" s="499"/>
      <c r="J24" s="297"/>
      <c r="K24" s="297"/>
      <c r="L24" s="297"/>
      <c r="M24" s="499"/>
      <c r="N24" s="499"/>
      <c r="O24" s="296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298"/>
      <c r="AB24" s="298"/>
      <c r="AC24" s="298"/>
      <c r="AD24" s="505"/>
      <c r="AE24" s="298"/>
      <c r="AF24" s="298"/>
      <c r="AG24" s="298"/>
      <c r="AH24" s="299">
        <v>1181</v>
      </c>
      <c r="AI24" s="296">
        <v>319</v>
      </c>
      <c r="AJ24" s="499">
        <f>SUM(AH24:AI24)</f>
        <v>1500</v>
      </c>
      <c r="AK24" s="499">
        <f>AN24-AH24</f>
        <v>-75</v>
      </c>
      <c r="AL24" s="499">
        <f t="shared" si="0"/>
        <v>-20</v>
      </c>
      <c r="AM24" s="499">
        <f t="shared" si="0"/>
        <v>-95</v>
      </c>
      <c r="AN24" s="499">
        <f>AH24-AN25</f>
        <v>1106</v>
      </c>
      <c r="AO24" s="499">
        <f>AI24-AO25</f>
        <v>299</v>
      </c>
      <c r="AP24" s="499">
        <f>AJ24-AP25</f>
        <v>1405</v>
      </c>
      <c r="AQ24" s="499">
        <f>AT24-AN24</f>
        <v>-75</v>
      </c>
      <c r="AR24" s="499">
        <f t="shared" ref="AR24:AS46" si="6">AU24-AO24</f>
        <v>-20</v>
      </c>
      <c r="AS24" s="499">
        <f t="shared" si="6"/>
        <v>-95</v>
      </c>
      <c r="AT24" s="499">
        <f>AN24-AT25</f>
        <v>1031</v>
      </c>
      <c r="AU24" s="499">
        <f>AO24-AU25</f>
        <v>279</v>
      </c>
      <c r="AV24" s="499">
        <f>AP24-AV25</f>
        <v>1310</v>
      </c>
      <c r="AW24" s="499"/>
      <c r="AX24" s="499"/>
      <c r="AY24" s="499"/>
      <c r="AZ24" s="499">
        <v>1031</v>
      </c>
      <c r="BA24" s="499">
        <v>279</v>
      </c>
      <c r="BB24" s="499">
        <v>1310</v>
      </c>
      <c r="BC24" s="499">
        <f t="shared" si="2"/>
        <v>-1031</v>
      </c>
      <c r="BD24" s="499">
        <f t="shared" si="2"/>
        <v>-279</v>
      </c>
      <c r="BE24" s="499">
        <f t="shared" si="2"/>
        <v>-1310</v>
      </c>
      <c r="BF24" s="499">
        <v>0</v>
      </c>
      <c r="BG24" s="499">
        <v>0</v>
      </c>
      <c r="BH24" s="499">
        <f t="shared" si="5"/>
        <v>0</v>
      </c>
      <c r="BI24" s="712"/>
      <c r="BJ24" s="712"/>
      <c r="BK24" s="712"/>
      <c r="BL24" s="712"/>
      <c r="BM24" s="712"/>
      <c r="BN24" s="712"/>
      <c r="BO24" s="712"/>
      <c r="BP24" s="712"/>
      <c r="BQ24" s="712"/>
      <c r="BR24" s="712"/>
      <c r="BS24" s="712"/>
      <c r="BT24" s="712"/>
      <c r="BU24" s="712"/>
      <c r="BV24" s="712"/>
      <c r="BW24" s="712"/>
      <c r="BX24" s="712"/>
      <c r="BY24" s="300"/>
      <c r="BZ24" s="714"/>
      <c r="CA24" s="712"/>
      <c r="CB24" s="297">
        <v>0</v>
      </c>
      <c r="CC24" s="297">
        <v>0</v>
      </c>
      <c r="CD24" s="712"/>
      <c r="CE24" s="313"/>
      <c r="CF24" s="313"/>
      <c r="CG24" s="313"/>
      <c r="CH24" s="313"/>
      <c r="CI24" s="313"/>
      <c r="CJ24" s="313"/>
      <c r="CK24" s="313"/>
      <c r="CL24" s="313"/>
      <c r="CM24" s="313"/>
    </row>
    <row r="25" spans="1:91" s="304" customFormat="1" x14ac:dyDescent="0.2">
      <c r="A25" s="703"/>
      <c r="B25" s="292" t="s">
        <v>1359</v>
      </c>
      <c r="C25" s="293" t="s">
        <v>625</v>
      </c>
      <c r="D25" s="303"/>
      <c r="E25" s="716"/>
      <c r="F25" s="294" t="s">
        <v>626</v>
      </c>
      <c r="G25" s="295"/>
      <c r="H25" s="296"/>
      <c r="I25" s="499"/>
      <c r="J25" s="499"/>
      <c r="K25" s="499"/>
      <c r="L25" s="499"/>
      <c r="M25" s="499"/>
      <c r="N25" s="499"/>
      <c r="O25" s="499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8"/>
      <c r="AB25" s="298"/>
      <c r="AC25" s="298"/>
      <c r="AD25" s="298"/>
      <c r="AE25" s="298"/>
      <c r="AF25" s="298"/>
      <c r="AG25" s="298"/>
      <c r="AH25" s="299"/>
      <c r="AI25" s="296"/>
      <c r="AJ25" s="499"/>
      <c r="AK25" s="499">
        <f>AN25-AH25</f>
        <v>75</v>
      </c>
      <c r="AL25" s="499">
        <f t="shared" ref="AL25:AM35" si="7">AO25-AI25</f>
        <v>20</v>
      </c>
      <c r="AM25" s="499">
        <f t="shared" si="7"/>
        <v>95</v>
      </c>
      <c r="AN25" s="298">
        <v>75</v>
      </c>
      <c r="AO25" s="298">
        <v>20</v>
      </c>
      <c r="AP25" s="298">
        <f>SUM(AN25:AO25)</f>
        <v>95</v>
      </c>
      <c r="AQ25" s="499">
        <f>AT25-AN25</f>
        <v>0</v>
      </c>
      <c r="AR25" s="499">
        <f t="shared" si="6"/>
        <v>0</v>
      </c>
      <c r="AS25" s="499">
        <f t="shared" si="6"/>
        <v>0</v>
      </c>
      <c r="AT25" s="298">
        <v>75</v>
      </c>
      <c r="AU25" s="298">
        <v>20</v>
      </c>
      <c r="AV25" s="298">
        <f>SUM(AT25:AU25)</f>
        <v>95</v>
      </c>
      <c r="AW25" s="298"/>
      <c r="AX25" s="298"/>
      <c r="AY25" s="298"/>
      <c r="AZ25" s="298">
        <v>75</v>
      </c>
      <c r="BA25" s="298">
        <v>20</v>
      </c>
      <c r="BB25" s="298">
        <v>95</v>
      </c>
      <c r="BC25" s="499">
        <f t="shared" si="2"/>
        <v>0</v>
      </c>
      <c r="BD25" s="499">
        <f t="shared" si="2"/>
        <v>1</v>
      </c>
      <c r="BE25" s="499">
        <f t="shared" si="2"/>
        <v>1</v>
      </c>
      <c r="BF25" s="298">
        <v>75</v>
      </c>
      <c r="BG25" s="298">
        <v>21</v>
      </c>
      <c r="BH25" s="298">
        <f t="shared" si="5"/>
        <v>96</v>
      </c>
      <c r="BI25" s="712"/>
      <c r="BJ25" s="712"/>
      <c r="BK25" s="712"/>
      <c r="BL25" s="712"/>
      <c r="BM25" s="712"/>
      <c r="BN25" s="712"/>
      <c r="BO25" s="712"/>
      <c r="BP25" s="712"/>
      <c r="BQ25" s="712"/>
      <c r="BR25" s="712"/>
      <c r="BS25" s="712"/>
      <c r="BT25" s="712"/>
      <c r="BU25" s="712"/>
      <c r="BV25" s="712"/>
      <c r="BW25" s="712"/>
      <c r="BX25" s="712"/>
      <c r="BY25" s="298"/>
      <c r="BZ25" s="714"/>
      <c r="CA25" s="712"/>
      <c r="CB25" s="297">
        <v>75162</v>
      </c>
      <c r="CC25" s="297">
        <v>95</v>
      </c>
      <c r="CD25" s="712"/>
      <c r="CE25" s="313"/>
      <c r="CF25" s="313"/>
      <c r="CG25" s="313"/>
      <c r="CH25" s="313"/>
      <c r="CI25" s="313"/>
      <c r="CJ25" s="313"/>
      <c r="CK25" s="313"/>
      <c r="CL25" s="313"/>
      <c r="CM25" s="313"/>
    </row>
    <row r="26" spans="1:91" s="304" customFormat="1" ht="22.5" x14ac:dyDescent="0.2">
      <c r="A26" s="703"/>
      <c r="B26" s="292" t="s">
        <v>1359</v>
      </c>
      <c r="C26" s="293" t="s">
        <v>1366</v>
      </c>
      <c r="D26" s="512"/>
      <c r="E26" s="716"/>
      <c r="F26" s="294" t="s">
        <v>1367</v>
      </c>
      <c r="G26" s="295"/>
      <c r="H26" s="296"/>
      <c r="I26" s="499"/>
      <c r="J26" s="499"/>
      <c r="K26" s="499"/>
      <c r="L26" s="499"/>
      <c r="M26" s="499"/>
      <c r="N26" s="499"/>
      <c r="O26" s="499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9"/>
      <c r="AI26" s="296"/>
      <c r="AJ26" s="499"/>
      <c r="AK26" s="499"/>
      <c r="AL26" s="499"/>
      <c r="AM26" s="499"/>
      <c r="AN26" s="298"/>
      <c r="AO26" s="298"/>
      <c r="AP26" s="298"/>
      <c r="AQ26" s="499"/>
      <c r="AR26" s="499"/>
      <c r="AS26" s="499"/>
      <c r="AT26" s="298"/>
      <c r="AU26" s="298"/>
      <c r="AV26" s="298"/>
      <c r="AW26" s="298"/>
      <c r="AX26" s="298"/>
      <c r="AY26" s="298"/>
      <c r="AZ26" s="298"/>
      <c r="BA26" s="298"/>
      <c r="BB26" s="298"/>
      <c r="BC26" s="499">
        <f t="shared" si="2"/>
        <v>203</v>
      </c>
      <c r="BD26" s="499">
        <f t="shared" si="2"/>
        <v>55</v>
      </c>
      <c r="BE26" s="499">
        <f t="shared" si="2"/>
        <v>258</v>
      </c>
      <c r="BF26" s="298">
        <v>203</v>
      </c>
      <c r="BG26" s="298">
        <v>55</v>
      </c>
      <c r="BH26" s="298">
        <f t="shared" si="5"/>
        <v>258</v>
      </c>
      <c r="BI26" s="712"/>
      <c r="BJ26" s="712"/>
      <c r="BK26" s="712"/>
      <c r="BL26" s="712"/>
      <c r="BM26" s="712"/>
      <c r="BN26" s="712"/>
      <c r="BO26" s="712"/>
      <c r="BP26" s="712"/>
      <c r="BQ26" s="712"/>
      <c r="BR26" s="712"/>
      <c r="BS26" s="712"/>
      <c r="BT26" s="712"/>
      <c r="BU26" s="712"/>
      <c r="BV26" s="712"/>
      <c r="BW26" s="712"/>
      <c r="BX26" s="712"/>
      <c r="BY26" s="298"/>
      <c r="BZ26" s="714"/>
      <c r="CA26" s="712"/>
      <c r="CB26" s="297">
        <v>202916</v>
      </c>
      <c r="CC26" s="297">
        <v>258</v>
      </c>
      <c r="CD26" s="712"/>
      <c r="CE26" s="313"/>
      <c r="CF26" s="313"/>
      <c r="CG26" s="313"/>
      <c r="CH26" s="313"/>
      <c r="CI26" s="313"/>
      <c r="CJ26" s="313"/>
      <c r="CK26" s="313"/>
      <c r="CL26" s="313"/>
      <c r="CM26" s="313"/>
    </row>
    <row r="27" spans="1:91" s="304" customFormat="1" ht="22.5" x14ac:dyDescent="0.2">
      <c r="A27" s="703"/>
      <c r="B27" s="292" t="s">
        <v>1359</v>
      </c>
      <c r="C27" s="293" t="s">
        <v>1368</v>
      </c>
      <c r="D27" s="512"/>
      <c r="E27" s="716"/>
      <c r="F27" s="294" t="s">
        <v>1369</v>
      </c>
      <c r="G27" s="295"/>
      <c r="H27" s="296"/>
      <c r="I27" s="499"/>
      <c r="J27" s="499"/>
      <c r="K27" s="499"/>
      <c r="L27" s="499"/>
      <c r="M27" s="499"/>
      <c r="N27" s="499"/>
      <c r="O27" s="499"/>
      <c r="P27" s="298"/>
      <c r="Q27" s="298"/>
      <c r="R27" s="298"/>
      <c r="S27" s="298"/>
      <c r="T27" s="298"/>
      <c r="U27" s="298"/>
      <c r="V27" s="298"/>
      <c r="W27" s="298"/>
      <c r="X27" s="298"/>
      <c r="Y27" s="298"/>
      <c r="Z27" s="298"/>
      <c r="AA27" s="298"/>
      <c r="AB27" s="298"/>
      <c r="AC27" s="298"/>
      <c r="AD27" s="298"/>
      <c r="AE27" s="298"/>
      <c r="AF27" s="298"/>
      <c r="AG27" s="298"/>
      <c r="AH27" s="299"/>
      <c r="AI27" s="296"/>
      <c r="AJ27" s="499"/>
      <c r="AK27" s="499"/>
      <c r="AL27" s="499"/>
      <c r="AM27" s="499"/>
      <c r="AN27" s="298"/>
      <c r="AO27" s="298"/>
      <c r="AP27" s="298"/>
      <c r="AQ27" s="499"/>
      <c r="AR27" s="499"/>
      <c r="AS27" s="499"/>
      <c r="AT27" s="298"/>
      <c r="AU27" s="298"/>
      <c r="AV27" s="298"/>
      <c r="AW27" s="298"/>
      <c r="AX27" s="298"/>
      <c r="AY27" s="298"/>
      <c r="AZ27" s="298"/>
      <c r="BA27" s="298"/>
      <c r="BB27" s="298"/>
      <c r="BC27" s="499">
        <f t="shared" si="2"/>
        <v>94</v>
      </c>
      <c r="BD27" s="499">
        <f t="shared" si="2"/>
        <v>26</v>
      </c>
      <c r="BE27" s="499">
        <f t="shared" si="2"/>
        <v>120</v>
      </c>
      <c r="BF27" s="298">
        <v>94</v>
      </c>
      <c r="BG27" s="298">
        <v>26</v>
      </c>
      <c r="BH27" s="298">
        <f t="shared" si="5"/>
        <v>120</v>
      </c>
      <c r="BI27" s="712"/>
      <c r="BJ27" s="712"/>
      <c r="BK27" s="712"/>
      <c r="BL27" s="712"/>
      <c r="BM27" s="712"/>
      <c r="BN27" s="712"/>
      <c r="BO27" s="712"/>
      <c r="BP27" s="712"/>
      <c r="BQ27" s="712"/>
      <c r="BR27" s="712"/>
      <c r="BS27" s="712"/>
      <c r="BT27" s="712"/>
      <c r="BU27" s="712"/>
      <c r="BV27" s="712"/>
      <c r="BW27" s="712"/>
      <c r="BX27" s="712"/>
      <c r="BY27" s="298"/>
      <c r="BZ27" s="714"/>
      <c r="CA27" s="712"/>
      <c r="CB27" s="297">
        <v>94299</v>
      </c>
      <c r="CC27" s="297">
        <v>120</v>
      </c>
      <c r="CD27" s="712"/>
      <c r="CE27" s="313"/>
      <c r="CF27" s="313"/>
      <c r="CG27" s="313"/>
      <c r="CH27" s="313"/>
      <c r="CI27" s="313"/>
      <c r="CJ27" s="313"/>
      <c r="CK27" s="313"/>
      <c r="CL27" s="313"/>
      <c r="CM27" s="313"/>
    </row>
    <row r="28" spans="1:91" s="304" customFormat="1" ht="22.5" x14ac:dyDescent="0.2">
      <c r="A28" s="703"/>
      <c r="B28" s="292" t="s">
        <v>1359</v>
      </c>
      <c r="C28" s="293" t="s">
        <v>1370</v>
      </c>
      <c r="D28" s="512"/>
      <c r="E28" s="716"/>
      <c r="F28" s="294" t="s">
        <v>1371</v>
      </c>
      <c r="G28" s="295"/>
      <c r="H28" s="296"/>
      <c r="I28" s="499"/>
      <c r="J28" s="499"/>
      <c r="K28" s="499"/>
      <c r="L28" s="499"/>
      <c r="M28" s="499"/>
      <c r="N28" s="499"/>
      <c r="O28" s="499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9"/>
      <c r="AI28" s="296"/>
      <c r="AJ28" s="499"/>
      <c r="AK28" s="499"/>
      <c r="AL28" s="499"/>
      <c r="AM28" s="499"/>
      <c r="AN28" s="298"/>
      <c r="AO28" s="298"/>
      <c r="AP28" s="298"/>
      <c r="AQ28" s="499"/>
      <c r="AR28" s="499"/>
      <c r="AS28" s="499"/>
      <c r="AT28" s="298"/>
      <c r="AU28" s="298"/>
      <c r="AV28" s="298"/>
      <c r="AW28" s="298"/>
      <c r="AX28" s="298"/>
      <c r="AY28" s="298"/>
      <c r="AZ28" s="298"/>
      <c r="BA28" s="298"/>
      <c r="BB28" s="298"/>
      <c r="BC28" s="499">
        <f t="shared" si="2"/>
        <v>173</v>
      </c>
      <c r="BD28" s="499">
        <f t="shared" si="2"/>
        <v>48</v>
      </c>
      <c r="BE28" s="499">
        <f t="shared" si="2"/>
        <v>221</v>
      </c>
      <c r="BF28" s="298">
        <v>173</v>
      </c>
      <c r="BG28" s="298">
        <v>48</v>
      </c>
      <c r="BH28" s="298">
        <f t="shared" si="5"/>
        <v>221</v>
      </c>
      <c r="BI28" s="712"/>
      <c r="BJ28" s="712"/>
      <c r="BK28" s="712"/>
      <c r="BL28" s="712"/>
      <c r="BM28" s="712"/>
      <c r="BN28" s="712"/>
      <c r="BO28" s="712"/>
      <c r="BP28" s="712"/>
      <c r="BQ28" s="712"/>
      <c r="BR28" s="712"/>
      <c r="BS28" s="712"/>
      <c r="BT28" s="712"/>
      <c r="BU28" s="712"/>
      <c r="BV28" s="712"/>
      <c r="BW28" s="712"/>
      <c r="BX28" s="712"/>
      <c r="BY28" s="298"/>
      <c r="BZ28" s="714"/>
      <c r="CA28" s="712"/>
      <c r="CB28" s="297">
        <v>173632</v>
      </c>
      <c r="CC28" s="297">
        <v>221</v>
      </c>
      <c r="CD28" s="712"/>
      <c r="CE28" s="313"/>
      <c r="CF28" s="313"/>
      <c r="CG28" s="313"/>
      <c r="CH28" s="313"/>
      <c r="CI28" s="313"/>
      <c r="CJ28" s="313"/>
      <c r="CK28" s="313"/>
      <c r="CL28" s="313"/>
      <c r="CM28" s="313"/>
    </row>
    <row r="29" spans="1:91" s="304" customFormat="1" ht="22.5" x14ac:dyDescent="0.2">
      <c r="A29" s="703"/>
      <c r="B29" s="292" t="s">
        <v>1372</v>
      </c>
      <c r="C29" s="293" t="s">
        <v>1143</v>
      </c>
      <c r="D29" s="512"/>
      <c r="E29" s="715" t="s">
        <v>627</v>
      </c>
      <c r="F29" s="294" t="s">
        <v>628</v>
      </c>
      <c r="G29" s="295"/>
      <c r="H29" s="296"/>
      <c r="I29" s="499"/>
      <c r="J29" s="297"/>
      <c r="K29" s="297"/>
      <c r="L29" s="297"/>
      <c r="M29" s="499"/>
      <c r="N29" s="499"/>
      <c r="O29" s="499"/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  <c r="AH29" s="299">
        <v>300</v>
      </c>
      <c r="AI29" s="296">
        <v>81</v>
      </c>
      <c r="AJ29" s="499">
        <f>SUM(AH29:AI29)</f>
        <v>381</v>
      </c>
      <c r="AK29" s="298">
        <f>AN29-AH29</f>
        <v>0</v>
      </c>
      <c r="AL29" s="298">
        <f t="shared" si="7"/>
        <v>0</v>
      </c>
      <c r="AM29" s="298">
        <f t="shared" si="7"/>
        <v>0</v>
      </c>
      <c r="AN29" s="298">
        <v>300</v>
      </c>
      <c r="AO29" s="298">
        <v>81</v>
      </c>
      <c r="AP29" s="298">
        <f>SUM(AN29:AO29)</f>
        <v>381</v>
      </c>
      <c r="AQ29" s="298">
        <f t="shared" ref="AQ29:AQ46" si="8">AT29-AN29</f>
        <v>-102</v>
      </c>
      <c r="AR29" s="298">
        <f t="shared" si="6"/>
        <v>-27</v>
      </c>
      <c r="AS29" s="298">
        <f t="shared" si="6"/>
        <v>-129</v>
      </c>
      <c r="AT29" s="499">
        <f>AN29-SUM(AQ30)</f>
        <v>198</v>
      </c>
      <c r="AU29" s="499">
        <f t="shared" ref="AU29:AV29" si="9">AO29-SUM(AR30)</f>
        <v>54</v>
      </c>
      <c r="AV29" s="499">
        <f t="shared" si="9"/>
        <v>252</v>
      </c>
      <c r="AW29" s="499"/>
      <c r="AX29" s="499"/>
      <c r="AY29" s="499"/>
      <c r="AZ29" s="499">
        <v>198</v>
      </c>
      <c r="BA29" s="499">
        <v>54</v>
      </c>
      <c r="BB29" s="499">
        <v>252</v>
      </c>
      <c r="BC29" s="499">
        <f t="shared" ref="BC29:BE44" si="10">BF29-AT29</f>
        <v>-198</v>
      </c>
      <c r="BD29" s="499">
        <f t="shared" si="10"/>
        <v>-54</v>
      </c>
      <c r="BE29" s="499">
        <f t="shared" si="10"/>
        <v>-252</v>
      </c>
      <c r="BF29" s="499">
        <v>0</v>
      </c>
      <c r="BG29" s="499">
        <v>0</v>
      </c>
      <c r="BH29" s="499">
        <f t="shared" si="5"/>
        <v>0</v>
      </c>
      <c r="BI29" s="712"/>
      <c r="BJ29" s="712"/>
      <c r="BK29" s="712"/>
      <c r="BL29" s="712"/>
      <c r="BM29" s="712"/>
      <c r="BN29" s="712"/>
      <c r="BO29" s="712"/>
      <c r="BP29" s="712"/>
      <c r="BQ29" s="712"/>
      <c r="BR29" s="712"/>
      <c r="BS29" s="712"/>
      <c r="BT29" s="712"/>
      <c r="BU29" s="712"/>
      <c r="BV29" s="712"/>
      <c r="BW29" s="712"/>
      <c r="BX29" s="712"/>
      <c r="BY29" s="300"/>
      <c r="BZ29" s="714"/>
      <c r="CA29" s="712"/>
      <c r="CB29" s="297">
        <v>0</v>
      </c>
      <c r="CC29" s="297">
        <v>0</v>
      </c>
      <c r="CD29" s="712"/>
      <c r="CE29" s="313"/>
      <c r="CF29" s="313"/>
      <c r="CG29" s="313"/>
      <c r="CH29" s="313"/>
      <c r="CI29" s="313"/>
      <c r="CJ29" s="313"/>
      <c r="CK29" s="313"/>
      <c r="CL29" s="313"/>
      <c r="CM29" s="313"/>
    </row>
    <row r="30" spans="1:91" s="304" customFormat="1" ht="22.5" x14ac:dyDescent="0.2">
      <c r="A30" s="703"/>
      <c r="B30" s="292" t="s">
        <v>1372</v>
      </c>
      <c r="C30" s="293" t="s">
        <v>1152</v>
      </c>
      <c r="D30" s="512"/>
      <c r="E30" s="716"/>
      <c r="F30" s="294" t="s">
        <v>1153</v>
      </c>
      <c r="G30" s="295"/>
      <c r="H30" s="296"/>
      <c r="I30" s="499"/>
      <c r="J30" s="297"/>
      <c r="K30" s="297"/>
      <c r="L30" s="297"/>
      <c r="M30" s="499"/>
      <c r="N30" s="499"/>
      <c r="O30" s="499"/>
      <c r="P30" s="298"/>
      <c r="Q30" s="298"/>
      <c r="R30" s="298"/>
      <c r="S30" s="298"/>
      <c r="T30" s="298"/>
      <c r="U30" s="298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  <c r="AH30" s="299"/>
      <c r="AI30" s="296"/>
      <c r="AJ30" s="499"/>
      <c r="AK30" s="298"/>
      <c r="AL30" s="298"/>
      <c r="AM30" s="298"/>
      <c r="AN30" s="298"/>
      <c r="AO30" s="298"/>
      <c r="AP30" s="298"/>
      <c r="AQ30" s="499">
        <f t="shared" si="8"/>
        <v>102</v>
      </c>
      <c r="AR30" s="499">
        <f t="shared" si="6"/>
        <v>27</v>
      </c>
      <c r="AS30" s="499">
        <f t="shared" si="6"/>
        <v>129</v>
      </c>
      <c r="AT30" s="298">
        <v>102</v>
      </c>
      <c r="AU30" s="298">
        <v>27</v>
      </c>
      <c r="AV30" s="298">
        <f>SUM(AT30:AU30)</f>
        <v>129</v>
      </c>
      <c r="AW30" s="298"/>
      <c r="AX30" s="298"/>
      <c r="AY30" s="298"/>
      <c r="AZ30" s="298">
        <v>102</v>
      </c>
      <c r="BA30" s="298">
        <v>27</v>
      </c>
      <c r="BB30" s="298">
        <v>129</v>
      </c>
      <c r="BC30" s="499">
        <f t="shared" si="10"/>
        <v>0</v>
      </c>
      <c r="BD30" s="499">
        <f t="shared" si="10"/>
        <v>0</v>
      </c>
      <c r="BE30" s="499">
        <f t="shared" si="10"/>
        <v>0</v>
      </c>
      <c r="BF30" s="298">
        <v>102</v>
      </c>
      <c r="BG30" s="298">
        <v>27</v>
      </c>
      <c r="BH30" s="298">
        <v>129</v>
      </c>
      <c r="BI30" s="712"/>
      <c r="BJ30" s="712"/>
      <c r="BK30" s="712"/>
      <c r="BL30" s="712"/>
      <c r="BM30" s="712"/>
      <c r="BN30" s="712"/>
      <c r="BO30" s="712"/>
      <c r="BP30" s="712"/>
      <c r="BQ30" s="712"/>
      <c r="BR30" s="712"/>
      <c r="BS30" s="712"/>
      <c r="BT30" s="712"/>
      <c r="BU30" s="712"/>
      <c r="BV30" s="712"/>
      <c r="BW30" s="712"/>
      <c r="BX30" s="712"/>
      <c r="BY30" s="300"/>
      <c r="BZ30" s="714"/>
      <c r="CA30" s="712"/>
      <c r="CB30" s="297">
        <v>101950</v>
      </c>
      <c r="CC30" s="297">
        <v>129</v>
      </c>
      <c r="CD30" s="712"/>
      <c r="CE30" s="313"/>
      <c r="CF30" s="313"/>
      <c r="CG30" s="313"/>
      <c r="CH30" s="313"/>
      <c r="CI30" s="313"/>
      <c r="CJ30" s="313"/>
      <c r="CK30" s="313"/>
      <c r="CL30" s="313"/>
      <c r="CM30" s="313"/>
    </row>
    <row r="31" spans="1:91" s="304" customFormat="1" ht="22.5" x14ac:dyDescent="0.2">
      <c r="A31" s="703"/>
      <c r="B31" s="292" t="s">
        <v>1372</v>
      </c>
      <c r="C31" s="293" t="s">
        <v>1373</v>
      </c>
      <c r="D31" s="512"/>
      <c r="E31" s="716"/>
      <c r="F31" s="294" t="s">
        <v>1374</v>
      </c>
      <c r="G31" s="295"/>
      <c r="H31" s="296"/>
      <c r="I31" s="499"/>
      <c r="J31" s="297"/>
      <c r="K31" s="297"/>
      <c r="L31" s="297"/>
      <c r="M31" s="499"/>
      <c r="N31" s="499"/>
      <c r="O31" s="499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  <c r="AH31" s="299"/>
      <c r="AI31" s="296"/>
      <c r="AJ31" s="499"/>
      <c r="AK31" s="298"/>
      <c r="AL31" s="298"/>
      <c r="AM31" s="298"/>
      <c r="AN31" s="298"/>
      <c r="AO31" s="298"/>
      <c r="AP31" s="298"/>
      <c r="AQ31" s="499"/>
      <c r="AR31" s="499"/>
      <c r="AS31" s="499"/>
      <c r="AT31" s="298"/>
      <c r="AU31" s="298"/>
      <c r="AV31" s="298"/>
      <c r="AW31" s="298"/>
      <c r="AX31" s="298"/>
      <c r="AY31" s="298"/>
      <c r="AZ31" s="298"/>
      <c r="BA31" s="298"/>
      <c r="BB31" s="298"/>
      <c r="BC31" s="499">
        <f t="shared" si="10"/>
        <v>22</v>
      </c>
      <c r="BD31" s="499">
        <f t="shared" si="10"/>
        <v>6</v>
      </c>
      <c r="BE31" s="499">
        <f t="shared" si="10"/>
        <v>28</v>
      </c>
      <c r="BF31" s="298">
        <v>22</v>
      </c>
      <c r="BG31" s="298">
        <v>6</v>
      </c>
      <c r="BH31" s="298">
        <f>SUM(BF31:BG31)</f>
        <v>28</v>
      </c>
      <c r="BI31" s="712"/>
      <c r="BJ31" s="713"/>
      <c r="BK31" s="712"/>
      <c r="BL31" s="713"/>
      <c r="BM31" s="712"/>
      <c r="BN31" s="712"/>
      <c r="BO31" s="712"/>
      <c r="BP31" s="712"/>
      <c r="BQ31" s="712"/>
      <c r="BR31" s="712"/>
      <c r="BS31" s="713"/>
      <c r="BT31" s="712"/>
      <c r="BU31" s="712"/>
      <c r="BV31" s="712"/>
      <c r="BW31" s="712"/>
      <c r="BX31" s="712"/>
      <c r="BY31" s="300"/>
      <c r="BZ31" s="714"/>
      <c r="CA31" s="712"/>
      <c r="CB31" s="297">
        <v>22000</v>
      </c>
      <c r="CC31" s="297">
        <v>28</v>
      </c>
      <c r="CD31" s="712"/>
      <c r="CE31" s="313"/>
      <c r="CF31" s="313"/>
      <c r="CG31" s="313"/>
      <c r="CH31" s="313"/>
      <c r="CI31" s="313"/>
      <c r="CJ31" s="313"/>
      <c r="CK31" s="313"/>
      <c r="CL31" s="313"/>
      <c r="CM31" s="313"/>
    </row>
    <row r="32" spans="1:91" ht="22.5" x14ac:dyDescent="0.2">
      <c r="A32" s="703"/>
      <c r="B32" s="292" t="s">
        <v>1372</v>
      </c>
      <c r="C32" s="293" t="s">
        <v>1375</v>
      </c>
      <c r="D32" s="512"/>
      <c r="E32" s="716"/>
      <c r="F32" s="294" t="s">
        <v>1376</v>
      </c>
      <c r="G32" s="295"/>
      <c r="H32" s="296"/>
      <c r="I32" s="499"/>
      <c r="J32" s="297"/>
      <c r="K32" s="297"/>
      <c r="L32" s="297"/>
      <c r="M32" s="499"/>
      <c r="N32" s="499"/>
      <c r="O32" s="499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9"/>
      <c r="AI32" s="296"/>
      <c r="AJ32" s="499"/>
      <c r="AK32" s="298"/>
      <c r="AL32" s="298"/>
      <c r="AM32" s="298"/>
      <c r="AN32" s="298"/>
      <c r="AO32" s="298"/>
      <c r="AP32" s="298"/>
      <c r="AQ32" s="499"/>
      <c r="AR32" s="499"/>
      <c r="AS32" s="499"/>
      <c r="AT32" s="298"/>
      <c r="AU32" s="298"/>
      <c r="AV32" s="298"/>
      <c r="AW32" s="298"/>
      <c r="AX32" s="298"/>
      <c r="AY32" s="298"/>
      <c r="AZ32" s="298"/>
      <c r="BA32" s="298"/>
      <c r="BB32" s="298"/>
      <c r="BC32" s="499">
        <f t="shared" si="10"/>
        <v>63</v>
      </c>
      <c r="BD32" s="499">
        <f t="shared" si="10"/>
        <v>17</v>
      </c>
      <c r="BE32" s="499">
        <f t="shared" si="10"/>
        <v>80</v>
      </c>
      <c r="BF32" s="298">
        <v>63</v>
      </c>
      <c r="BG32" s="298">
        <v>17</v>
      </c>
      <c r="BH32" s="298">
        <f>SUM(BF32:BG32)</f>
        <v>80</v>
      </c>
      <c r="BI32" s="712"/>
      <c r="BJ32" s="521"/>
      <c r="BK32" s="712"/>
      <c r="BL32" s="521"/>
      <c r="BM32" s="712"/>
      <c r="BN32" s="712"/>
      <c r="BO32" s="712"/>
      <c r="BP32" s="712"/>
      <c r="BQ32" s="712"/>
      <c r="BR32" s="712"/>
      <c r="BS32" s="521"/>
      <c r="BT32" s="712"/>
      <c r="BU32" s="712"/>
      <c r="BV32" s="712"/>
      <c r="BW32" s="712"/>
      <c r="BX32" s="712"/>
      <c r="BY32" s="300"/>
      <c r="BZ32" s="714"/>
      <c r="CA32" s="712"/>
      <c r="CB32" s="297">
        <v>62913</v>
      </c>
      <c r="CC32" s="297">
        <v>80</v>
      </c>
      <c r="CD32" s="712"/>
    </row>
    <row r="33" spans="1:82" ht="33.75" x14ac:dyDescent="0.2">
      <c r="A33" s="703"/>
      <c r="B33" s="292" t="s">
        <v>1377</v>
      </c>
      <c r="C33" s="305" t="s">
        <v>1378</v>
      </c>
      <c r="D33" s="306"/>
      <c r="E33" s="508" t="s">
        <v>1379</v>
      </c>
      <c r="F33" s="294" t="s">
        <v>1380</v>
      </c>
      <c r="G33" s="307"/>
      <c r="H33" s="307"/>
      <c r="I33" s="307"/>
      <c r="J33" s="502"/>
      <c r="K33" s="502"/>
      <c r="L33" s="502"/>
      <c r="M33" s="502"/>
      <c r="N33" s="502"/>
      <c r="O33" s="502"/>
      <c r="P33" s="502"/>
      <c r="Q33" s="502"/>
      <c r="R33" s="502"/>
      <c r="S33" s="502"/>
      <c r="T33" s="502"/>
      <c r="U33" s="502"/>
      <c r="V33" s="502"/>
      <c r="W33" s="502"/>
      <c r="X33" s="502"/>
      <c r="Y33" s="502"/>
      <c r="Z33" s="502"/>
      <c r="AA33" s="502"/>
      <c r="AB33" s="502"/>
      <c r="AC33" s="502"/>
      <c r="AD33" s="502"/>
      <c r="AE33" s="502"/>
      <c r="AF33" s="502"/>
      <c r="AG33" s="502"/>
      <c r="AH33" s="308"/>
      <c r="AI33" s="307"/>
      <c r="AJ33" s="309"/>
      <c r="AK33" s="309"/>
      <c r="AL33" s="309"/>
      <c r="AM33" s="309"/>
      <c r="AN33" s="309"/>
      <c r="AO33" s="309"/>
      <c r="AP33" s="309"/>
      <c r="AQ33" s="309"/>
      <c r="AR33" s="309"/>
      <c r="AS33" s="309"/>
      <c r="AT33" s="309"/>
      <c r="AU33" s="309"/>
      <c r="AV33" s="309"/>
      <c r="AW33" s="309"/>
      <c r="AX33" s="309"/>
      <c r="AY33" s="309"/>
      <c r="AZ33" s="309"/>
      <c r="BA33" s="309"/>
      <c r="BB33" s="309"/>
      <c r="BC33" s="499">
        <f t="shared" si="10"/>
        <v>157</v>
      </c>
      <c r="BD33" s="499">
        <f t="shared" si="10"/>
        <v>43</v>
      </c>
      <c r="BE33" s="499">
        <f t="shared" si="10"/>
        <v>200</v>
      </c>
      <c r="BF33" s="298">
        <v>157</v>
      </c>
      <c r="BG33" s="298">
        <v>43</v>
      </c>
      <c r="BH33" s="298">
        <f>SUM(BF33:BG33)</f>
        <v>200</v>
      </c>
      <c r="BI33" s="712"/>
      <c r="BJ33" s="521"/>
      <c r="BK33" s="712"/>
      <c r="BL33" s="521"/>
      <c r="BM33" s="712"/>
      <c r="BN33" s="712"/>
      <c r="BO33" s="712"/>
      <c r="BP33" s="712"/>
      <c r="BQ33" s="712"/>
      <c r="BR33" s="712"/>
      <c r="BS33" s="521"/>
      <c r="BT33" s="712"/>
      <c r="BU33" s="712"/>
      <c r="BV33" s="712"/>
      <c r="BW33" s="712"/>
      <c r="BX33" s="712"/>
      <c r="BY33" s="300"/>
      <c r="BZ33" s="714"/>
      <c r="CA33" s="712"/>
      <c r="CB33" s="297">
        <v>157480</v>
      </c>
      <c r="CC33" s="297">
        <v>200</v>
      </c>
      <c r="CD33" s="713"/>
    </row>
    <row r="34" spans="1:82" x14ac:dyDescent="0.2">
      <c r="A34" s="702" t="s">
        <v>409</v>
      </c>
      <c r="B34" s="292" t="s">
        <v>1381</v>
      </c>
      <c r="C34" s="293" t="s">
        <v>1143</v>
      </c>
      <c r="D34" s="303"/>
      <c r="E34" s="702" t="s">
        <v>630</v>
      </c>
      <c r="F34" s="294" t="s">
        <v>631</v>
      </c>
      <c r="G34" s="296"/>
      <c r="H34" s="296"/>
      <c r="I34" s="296"/>
      <c r="J34" s="297"/>
      <c r="K34" s="297"/>
      <c r="L34" s="297"/>
      <c r="M34" s="499"/>
      <c r="N34" s="499"/>
      <c r="O34" s="296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  <c r="AA34" s="298"/>
      <c r="AB34" s="298"/>
      <c r="AC34" s="298"/>
      <c r="AD34" s="298"/>
      <c r="AE34" s="298"/>
      <c r="AF34" s="298"/>
      <c r="AG34" s="298"/>
      <c r="AH34" s="296">
        <v>7087</v>
      </c>
      <c r="AI34" s="296">
        <v>1913</v>
      </c>
      <c r="AJ34" s="296">
        <f>SUM(AH34:AI34)</f>
        <v>9000</v>
      </c>
      <c r="AK34" s="499">
        <f>AN34-AH34</f>
        <v>-1674</v>
      </c>
      <c r="AL34" s="499">
        <f t="shared" si="7"/>
        <v>-452</v>
      </c>
      <c r="AM34" s="499">
        <f t="shared" si="7"/>
        <v>-2126</v>
      </c>
      <c r="AN34" s="499">
        <f>AH34-SUM(AK35)</f>
        <v>5413</v>
      </c>
      <c r="AO34" s="499">
        <f>AI34-SUM(AL35)</f>
        <v>1461</v>
      </c>
      <c r="AP34" s="499">
        <f>AJ34-SUM(AM35)</f>
        <v>6874</v>
      </c>
      <c r="AQ34" s="499">
        <f t="shared" si="8"/>
        <v>-4321</v>
      </c>
      <c r="AR34" s="499">
        <f t="shared" si="6"/>
        <v>-1167</v>
      </c>
      <c r="AS34" s="499">
        <f t="shared" si="6"/>
        <v>-5488</v>
      </c>
      <c r="AT34" s="499">
        <f>AN34-SUM(AQ35:AQ36)</f>
        <v>1092</v>
      </c>
      <c r="AU34" s="499">
        <f>AO34-SUM(AR35:AR36)</f>
        <v>294</v>
      </c>
      <c r="AV34" s="499">
        <f>AP34-SUM(AS35:AS36)</f>
        <v>1386</v>
      </c>
      <c r="AW34" s="499"/>
      <c r="AX34" s="499"/>
      <c r="AY34" s="499"/>
      <c r="AZ34" s="499">
        <v>1092</v>
      </c>
      <c r="BA34" s="499">
        <v>294</v>
      </c>
      <c r="BB34" s="499">
        <v>1386</v>
      </c>
      <c r="BC34" s="499">
        <f t="shared" si="10"/>
        <v>-1092</v>
      </c>
      <c r="BD34" s="499">
        <f t="shared" si="10"/>
        <v>-294</v>
      </c>
      <c r="BE34" s="499">
        <f t="shared" si="10"/>
        <v>-1386</v>
      </c>
      <c r="BF34" s="499">
        <v>0</v>
      </c>
      <c r="BG34" s="499">
        <v>0</v>
      </c>
      <c r="BH34" s="499">
        <f>SUBTOTAL(9,BF34:BG34)</f>
        <v>0</v>
      </c>
      <c r="BI34" s="711">
        <f>SUM(I34:I40)</f>
        <v>0</v>
      </c>
      <c r="BJ34" s="711">
        <f>SUM(L34:L40)</f>
        <v>0</v>
      </c>
      <c r="BK34" s="711">
        <f>SUM(O34:O40)</f>
        <v>0</v>
      </c>
      <c r="BL34" s="711">
        <f>SUM(R34:R40)</f>
        <v>0</v>
      </c>
      <c r="BM34" s="711">
        <f>SUM(U34:U40)</f>
        <v>0</v>
      </c>
      <c r="BN34" s="711">
        <f>SUM(AD34:AD40)</f>
        <v>0</v>
      </c>
      <c r="BO34" s="711">
        <f>SUM(AA33:AA40)</f>
        <v>0</v>
      </c>
      <c r="BP34" s="300"/>
      <c r="BQ34" s="718">
        <f>SUM(AG34:AG40)</f>
        <v>0</v>
      </c>
      <c r="BR34" s="711">
        <f>SUM(AJ34:AJ40)</f>
        <v>29000</v>
      </c>
      <c r="BS34" s="711">
        <f>SUM(AM34:AM40)</f>
        <v>60</v>
      </c>
      <c r="BT34" s="711">
        <f>SUM(AP34:AP40)</f>
        <v>29060</v>
      </c>
      <c r="BU34" s="711">
        <f>SUM(AS34:AS40)</f>
        <v>3094</v>
      </c>
      <c r="BV34" s="711">
        <f>SUM(AV34:AV40)</f>
        <v>32154</v>
      </c>
      <c r="BW34" s="711">
        <f>SUM(BE34:BE40)</f>
        <v>-19078</v>
      </c>
      <c r="BX34" s="711">
        <f>SUM(BB34:BB40)</f>
        <v>32154</v>
      </c>
      <c r="BY34" s="300"/>
      <c r="BZ34" s="711">
        <f>SUM(BH34:BH40)</f>
        <v>13076</v>
      </c>
      <c r="CA34" s="711">
        <f>SUM(BZ34)</f>
        <v>13076</v>
      </c>
      <c r="CB34" s="297">
        <v>0</v>
      </c>
      <c r="CC34" s="297">
        <v>0</v>
      </c>
      <c r="CD34" s="711">
        <f>SUM(CC34:CC40)</f>
        <v>13076</v>
      </c>
    </row>
    <row r="35" spans="1:82" ht="22.5" x14ac:dyDescent="0.2">
      <c r="A35" s="703"/>
      <c r="B35" s="292" t="s">
        <v>1381</v>
      </c>
      <c r="C35" s="293" t="s">
        <v>632</v>
      </c>
      <c r="D35" s="303"/>
      <c r="E35" s="703"/>
      <c r="F35" s="310" t="s">
        <v>1382</v>
      </c>
      <c r="G35" s="296"/>
      <c r="H35" s="296"/>
      <c r="I35" s="296"/>
      <c r="J35" s="297"/>
      <c r="K35" s="297"/>
      <c r="L35" s="297"/>
      <c r="M35" s="499"/>
      <c r="N35" s="499"/>
      <c r="O35" s="499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298"/>
      <c r="AB35" s="298"/>
      <c r="AC35" s="298"/>
      <c r="AD35" s="298"/>
      <c r="AE35" s="298"/>
      <c r="AF35" s="298"/>
      <c r="AG35" s="298"/>
      <c r="AH35" s="296"/>
      <c r="AI35" s="296"/>
      <c r="AJ35" s="296"/>
      <c r="AK35" s="499">
        <f>AN35-AH35</f>
        <v>1674</v>
      </c>
      <c r="AL35" s="499">
        <f t="shared" si="7"/>
        <v>452</v>
      </c>
      <c r="AM35" s="499">
        <f t="shared" si="7"/>
        <v>2126</v>
      </c>
      <c r="AN35" s="499">
        <v>1674</v>
      </c>
      <c r="AO35" s="499">
        <v>452</v>
      </c>
      <c r="AP35" s="499">
        <f>SUM(AN35:AO35)</f>
        <v>2126</v>
      </c>
      <c r="AQ35" s="499">
        <f t="shared" si="8"/>
        <v>0</v>
      </c>
      <c r="AR35" s="499">
        <f t="shared" si="6"/>
        <v>0</v>
      </c>
      <c r="AS35" s="499">
        <f t="shared" si="6"/>
        <v>0</v>
      </c>
      <c r="AT35" s="499">
        <v>1674</v>
      </c>
      <c r="AU35" s="499">
        <v>452</v>
      </c>
      <c r="AV35" s="499">
        <f>SUM(AT35:AU35)</f>
        <v>2126</v>
      </c>
      <c r="AW35" s="499"/>
      <c r="AX35" s="499"/>
      <c r="AY35" s="499"/>
      <c r="AZ35" s="499">
        <v>1674</v>
      </c>
      <c r="BA35" s="499">
        <v>452</v>
      </c>
      <c r="BB35" s="499">
        <v>2126</v>
      </c>
      <c r="BC35" s="499">
        <f t="shared" si="10"/>
        <v>0</v>
      </c>
      <c r="BD35" s="499">
        <f t="shared" si="10"/>
        <v>0</v>
      </c>
      <c r="BE35" s="499">
        <f t="shared" si="10"/>
        <v>0</v>
      </c>
      <c r="BF35" s="499">
        <v>1674</v>
      </c>
      <c r="BG35" s="499">
        <v>452</v>
      </c>
      <c r="BH35" s="499">
        <v>2126</v>
      </c>
      <c r="BI35" s="714"/>
      <c r="BJ35" s="714"/>
      <c r="BK35" s="714"/>
      <c r="BL35" s="714"/>
      <c r="BM35" s="714"/>
      <c r="BN35" s="712"/>
      <c r="BO35" s="712"/>
      <c r="BP35" s="300"/>
      <c r="BQ35" s="714"/>
      <c r="BR35" s="712"/>
      <c r="BS35" s="712"/>
      <c r="BT35" s="712"/>
      <c r="BU35" s="712"/>
      <c r="BV35" s="712"/>
      <c r="BW35" s="712"/>
      <c r="BX35" s="712"/>
      <c r="BY35" s="300"/>
      <c r="BZ35" s="714"/>
      <c r="CA35" s="712"/>
      <c r="CB35" s="297">
        <v>1673600</v>
      </c>
      <c r="CC35" s="297">
        <v>2125</v>
      </c>
      <c r="CD35" s="712"/>
    </row>
    <row r="36" spans="1:82" ht="22.5" x14ac:dyDescent="0.2">
      <c r="A36" s="703"/>
      <c r="B36" s="292" t="s">
        <v>1381</v>
      </c>
      <c r="C36" s="293" t="s">
        <v>1154</v>
      </c>
      <c r="D36" s="303"/>
      <c r="E36" s="703"/>
      <c r="F36" s="311" t="s">
        <v>1155</v>
      </c>
      <c r="G36" s="296"/>
      <c r="H36" s="296"/>
      <c r="I36" s="296"/>
      <c r="J36" s="297"/>
      <c r="K36" s="297"/>
      <c r="L36" s="297"/>
      <c r="M36" s="499"/>
      <c r="N36" s="499"/>
      <c r="O36" s="499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  <c r="AA36" s="298"/>
      <c r="AB36" s="298"/>
      <c r="AC36" s="298"/>
      <c r="AD36" s="298"/>
      <c r="AE36" s="298"/>
      <c r="AF36" s="298"/>
      <c r="AG36" s="298"/>
      <c r="AH36" s="296"/>
      <c r="AI36" s="296"/>
      <c r="AJ36" s="296"/>
      <c r="AK36" s="499"/>
      <c r="AL36" s="499"/>
      <c r="AM36" s="499"/>
      <c r="AN36" s="296"/>
      <c r="AO36" s="296"/>
      <c r="AP36" s="296"/>
      <c r="AQ36" s="499">
        <f t="shared" si="8"/>
        <v>4321</v>
      </c>
      <c r="AR36" s="499">
        <f t="shared" si="6"/>
        <v>1167</v>
      </c>
      <c r="AS36" s="499">
        <f t="shared" si="6"/>
        <v>5488</v>
      </c>
      <c r="AT36" s="499">
        <v>4321</v>
      </c>
      <c r="AU36" s="499">
        <v>1167</v>
      </c>
      <c r="AV36" s="499">
        <f>SUM(AT36:AU36)</f>
        <v>5488</v>
      </c>
      <c r="AW36" s="499"/>
      <c r="AX36" s="499"/>
      <c r="AY36" s="499"/>
      <c r="AZ36" s="499">
        <v>4321</v>
      </c>
      <c r="BA36" s="499">
        <v>1167</v>
      </c>
      <c r="BB36" s="499">
        <v>5488</v>
      </c>
      <c r="BC36" s="499">
        <f t="shared" si="10"/>
        <v>0</v>
      </c>
      <c r="BD36" s="499">
        <f t="shared" si="10"/>
        <v>0</v>
      </c>
      <c r="BE36" s="499">
        <f t="shared" si="10"/>
        <v>0</v>
      </c>
      <c r="BF36" s="499">
        <v>4321</v>
      </c>
      <c r="BG36" s="499">
        <v>1167</v>
      </c>
      <c r="BH36" s="499">
        <v>5488</v>
      </c>
      <c r="BI36" s="714"/>
      <c r="BJ36" s="714"/>
      <c r="BK36" s="714"/>
      <c r="BL36" s="714"/>
      <c r="BM36" s="714"/>
      <c r="BN36" s="712"/>
      <c r="BO36" s="712"/>
      <c r="BP36" s="300"/>
      <c r="BQ36" s="714"/>
      <c r="BR36" s="712"/>
      <c r="BS36" s="712"/>
      <c r="BT36" s="712"/>
      <c r="BU36" s="712"/>
      <c r="BV36" s="712"/>
      <c r="BW36" s="712"/>
      <c r="BX36" s="712"/>
      <c r="BY36" s="300"/>
      <c r="BZ36" s="714"/>
      <c r="CA36" s="712"/>
      <c r="CB36" s="297">
        <v>4321260</v>
      </c>
      <c r="CC36" s="297">
        <v>5488</v>
      </c>
      <c r="CD36" s="712"/>
    </row>
    <row r="37" spans="1:82" ht="22.5" x14ac:dyDescent="0.2">
      <c r="A37" s="703"/>
      <c r="B37" s="292" t="s">
        <v>1381</v>
      </c>
      <c r="C37" s="293" t="s">
        <v>1383</v>
      </c>
      <c r="D37" s="303"/>
      <c r="E37" s="703"/>
      <c r="F37" s="310" t="s">
        <v>1157</v>
      </c>
      <c r="G37" s="296"/>
      <c r="H37" s="296"/>
      <c r="I37" s="296"/>
      <c r="J37" s="297"/>
      <c r="K37" s="297"/>
      <c r="L37" s="297"/>
      <c r="M37" s="499"/>
      <c r="N37" s="499"/>
      <c r="O37" s="499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298"/>
      <c r="AA37" s="298"/>
      <c r="AB37" s="298"/>
      <c r="AC37" s="298"/>
      <c r="AD37" s="298"/>
      <c r="AE37" s="298"/>
      <c r="AF37" s="298"/>
      <c r="AG37" s="298"/>
      <c r="AH37" s="296"/>
      <c r="AI37" s="296"/>
      <c r="AJ37" s="296"/>
      <c r="AK37" s="499"/>
      <c r="AL37" s="499"/>
      <c r="AM37" s="499"/>
      <c r="AN37" s="499"/>
      <c r="AO37" s="499"/>
      <c r="AP37" s="499"/>
      <c r="AQ37" s="499">
        <f t="shared" si="8"/>
        <v>2424</v>
      </c>
      <c r="AR37" s="499">
        <f t="shared" si="6"/>
        <v>654</v>
      </c>
      <c r="AS37" s="499">
        <f t="shared" si="6"/>
        <v>3078</v>
      </c>
      <c r="AT37" s="499">
        <v>2424</v>
      </c>
      <c r="AU37" s="499">
        <v>654</v>
      </c>
      <c r="AV37" s="499">
        <f>SUM(AT37:AU37)</f>
        <v>3078</v>
      </c>
      <c r="AW37" s="499"/>
      <c r="AX37" s="499"/>
      <c r="AY37" s="499"/>
      <c r="AZ37" s="499">
        <v>2424</v>
      </c>
      <c r="BA37" s="499">
        <v>654</v>
      </c>
      <c r="BB37" s="499">
        <v>3078</v>
      </c>
      <c r="BC37" s="499">
        <f t="shared" si="10"/>
        <v>0</v>
      </c>
      <c r="BD37" s="499">
        <f t="shared" si="10"/>
        <v>0</v>
      </c>
      <c r="BE37" s="499">
        <f t="shared" si="10"/>
        <v>0</v>
      </c>
      <c r="BF37" s="499">
        <v>2424</v>
      </c>
      <c r="BG37" s="499">
        <v>654</v>
      </c>
      <c r="BH37" s="499">
        <v>3078</v>
      </c>
      <c r="BI37" s="714"/>
      <c r="BJ37" s="714"/>
      <c r="BK37" s="714"/>
      <c r="BL37" s="714"/>
      <c r="BM37" s="714"/>
      <c r="BN37" s="712"/>
      <c r="BO37" s="712"/>
      <c r="BP37" s="300"/>
      <c r="BQ37" s="714"/>
      <c r="BR37" s="712"/>
      <c r="BS37" s="712"/>
      <c r="BT37" s="712"/>
      <c r="BU37" s="712"/>
      <c r="BV37" s="712"/>
      <c r="BW37" s="712"/>
      <c r="BX37" s="712"/>
      <c r="BY37" s="300"/>
      <c r="BZ37" s="714"/>
      <c r="CA37" s="712"/>
      <c r="CB37" s="297">
        <v>2423630</v>
      </c>
      <c r="CC37" s="297">
        <v>3078</v>
      </c>
      <c r="CD37" s="712"/>
    </row>
    <row r="38" spans="1:82" ht="22.5" x14ac:dyDescent="0.2">
      <c r="A38" s="703"/>
      <c r="B38" s="292" t="s">
        <v>1381</v>
      </c>
      <c r="C38" s="293" t="s">
        <v>633</v>
      </c>
      <c r="D38" s="312"/>
      <c r="E38" s="704"/>
      <c r="F38" s="311" t="s">
        <v>634</v>
      </c>
      <c r="G38" s="296"/>
      <c r="H38" s="296"/>
      <c r="I38" s="296"/>
      <c r="J38" s="297"/>
      <c r="K38" s="297"/>
      <c r="L38" s="297"/>
      <c r="M38" s="499"/>
      <c r="N38" s="499"/>
      <c r="O38" s="499"/>
      <c r="P38" s="298"/>
      <c r="Q38" s="298"/>
      <c r="R38" s="298"/>
      <c r="S38" s="298"/>
      <c r="T38" s="298"/>
      <c r="U38" s="298"/>
      <c r="V38" s="298"/>
      <c r="W38" s="298"/>
      <c r="X38" s="298"/>
      <c r="Y38" s="298"/>
      <c r="Z38" s="298"/>
      <c r="AA38" s="298"/>
      <c r="AB38" s="298"/>
      <c r="AC38" s="298"/>
      <c r="AD38" s="298"/>
      <c r="AE38" s="298"/>
      <c r="AF38" s="298"/>
      <c r="AG38" s="298"/>
      <c r="AH38" s="296"/>
      <c r="AI38" s="296"/>
      <c r="AJ38" s="296"/>
      <c r="AK38" s="499">
        <f t="shared" ref="AK38:AM46" si="11">AN38-AH38</f>
        <v>60</v>
      </c>
      <c r="AL38" s="499">
        <f t="shared" si="11"/>
        <v>0</v>
      </c>
      <c r="AM38" s="499">
        <f t="shared" si="11"/>
        <v>60</v>
      </c>
      <c r="AN38" s="296">
        <v>60</v>
      </c>
      <c r="AO38" s="296"/>
      <c r="AP38" s="296">
        <f>SUM(AN38:AO38)</f>
        <v>60</v>
      </c>
      <c r="AQ38" s="499">
        <f t="shared" si="8"/>
        <v>0</v>
      </c>
      <c r="AR38" s="499">
        <f t="shared" si="6"/>
        <v>16</v>
      </c>
      <c r="AS38" s="499">
        <v>16</v>
      </c>
      <c r="AT38" s="499">
        <v>60</v>
      </c>
      <c r="AU38" s="499">
        <v>16</v>
      </c>
      <c r="AV38" s="499">
        <f>SUM(AT38:AU38)</f>
        <v>76</v>
      </c>
      <c r="AW38" s="499"/>
      <c r="AX38" s="499"/>
      <c r="AY38" s="499"/>
      <c r="AZ38" s="499">
        <v>60</v>
      </c>
      <c r="BA38" s="499">
        <v>16</v>
      </c>
      <c r="BB38" s="499">
        <v>76</v>
      </c>
      <c r="BC38" s="499">
        <f t="shared" si="10"/>
        <v>0</v>
      </c>
      <c r="BD38" s="499">
        <f t="shared" si="10"/>
        <v>0</v>
      </c>
      <c r="BE38" s="499">
        <f t="shared" si="10"/>
        <v>0</v>
      </c>
      <c r="BF38" s="499">
        <v>60</v>
      </c>
      <c r="BG38" s="499">
        <v>16</v>
      </c>
      <c r="BH38" s="499">
        <v>76</v>
      </c>
      <c r="BI38" s="714"/>
      <c r="BJ38" s="714"/>
      <c r="BK38" s="714"/>
      <c r="BL38" s="714"/>
      <c r="BM38" s="714"/>
      <c r="BN38" s="712"/>
      <c r="BO38" s="712"/>
      <c r="BP38" s="300"/>
      <c r="BQ38" s="714"/>
      <c r="BR38" s="712"/>
      <c r="BS38" s="712"/>
      <c r="BT38" s="712"/>
      <c r="BU38" s="712"/>
      <c r="BV38" s="712"/>
      <c r="BW38" s="712"/>
      <c r="BX38" s="712"/>
      <c r="BY38" s="300"/>
      <c r="BZ38" s="714"/>
      <c r="CA38" s="712"/>
      <c r="CB38" s="297">
        <v>60000</v>
      </c>
      <c r="CC38" s="297">
        <v>76</v>
      </c>
      <c r="CD38" s="712"/>
    </row>
    <row r="39" spans="1:82" x14ac:dyDescent="0.2">
      <c r="A39" s="703"/>
      <c r="B39" s="292" t="s">
        <v>1381</v>
      </c>
      <c r="C39" s="293" t="s">
        <v>1143</v>
      </c>
      <c r="D39" s="303"/>
      <c r="E39" s="703" t="s">
        <v>635</v>
      </c>
      <c r="F39" s="310" t="s">
        <v>636</v>
      </c>
      <c r="G39" s="296"/>
      <c r="H39" s="296"/>
      <c r="I39" s="296"/>
      <c r="J39" s="297"/>
      <c r="K39" s="297"/>
      <c r="L39" s="297"/>
      <c r="M39" s="499"/>
      <c r="N39" s="499"/>
      <c r="O39" s="296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  <c r="AA39" s="298"/>
      <c r="AB39" s="298"/>
      <c r="AC39" s="298"/>
      <c r="AD39" s="298"/>
      <c r="AE39" s="298"/>
      <c r="AF39" s="298"/>
      <c r="AG39" s="298"/>
      <c r="AH39" s="296">
        <v>15748</v>
      </c>
      <c r="AI39" s="296">
        <v>4252</v>
      </c>
      <c r="AJ39" s="296">
        <f>SUM(AH39:AI39)</f>
        <v>20000</v>
      </c>
      <c r="AK39" s="499">
        <f>AN39-AH39</f>
        <v>-1488</v>
      </c>
      <c r="AL39" s="499">
        <f t="shared" si="11"/>
        <v>-402</v>
      </c>
      <c r="AM39" s="499">
        <f t="shared" si="11"/>
        <v>-1890</v>
      </c>
      <c r="AN39" s="499">
        <f>AH39-SUM(AK40)</f>
        <v>14260</v>
      </c>
      <c r="AO39" s="499">
        <f>AI39-SUM(AL40)</f>
        <v>3850</v>
      </c>
      <c r="AP39" s="499">
        <f>AJ39-SUM(AM40)</f>
        <v>18110</v>
      </c>
      <c r="AQ39" s="499">
        <f t="shared" si="8"/>
        <v>0</v>
      </c>
      <c r="AR39" s="499">
        <f t="shared" si="6"/>
        <v>0</v>
      </c>
      <c r="AS39" s="499">
        <f t="shared" si="6"/>
        <v>0</v>
      </c>
      <c r="AT39" s="499">
        <f>AN39-SUM(AQ40)</f>
        <v>14260</v>
      </c>
      <c r="AU39" s="499">
        <f>AO39-SUM(AR40)</f>
        <v>3850</v>
      </c>
      <c r="AV39" s="499">
        <f>AP39-SUM(AS40)</f>
        <v>18110</v>
      </c>
      <c r="AW39" s="499"/>
      <c r="AX39" s="499"/>
      <c r="AY39" s="499"/>
      <c r="AZ39" s="499">
        <v>14260</v>
      </c>
      <c r="BA39" s="499">
        <v>3850</v>
      </c>
      <c r="BB39" s="499">
        <v>18110</v>
      </c>
      <c r="BC39" s="499">
        <f t="shared" si="10"/>
        <v>-14260</v>
      </c>
      <c r="BD39" s="499">
        <f t="shared" si="10"/>
        <v>-3850</v>
      </c>
      <c r="BE39" s="499">
        <f t="shared" si="10"/>
        <v>-18110</v>
      </c>
      <c r="BF39" s="499">
        <v>0</v>
      </c>
      <c r="BG39" s="499">
        <v>0</v>
      </c>
      <c r="BH39" s="499">
        <f>SUBTOTAL(9,BF39:BG39)</f>
        <v>0</v>
      </c>
      <c r="BI39" s="714"/>
      <c r="BJ39" s="714"/>
      <c r="BK39" s="714"/>
      <c r="BL39" s="714"/>
      <c r="BM39" s="714"/>
      <c r="BN39" s="712"/>
      <c r="BO39" s="712"/>
      <c r="BP39" s="300"/>
      <c r="BQ39" s="714"/>
      <c r="BR39" s="712"/>
      <c r="BS39" s="712"/>
      <c r="BT39" s="712"/>
      <c r="BU39" s="712"/>
      <c r="BV39" s="712"/>
      <c r="BW39" s="712"/>
      <c r="BX39" s="712"/>
      <c r="BY39" s="300"/>
      <c r="BZ39" s="714"/>
      <c r="CA39" s="712"/>
      <c r="CB39" s="297">
        <v>0</v>
      </c>
      <c r="CC39" s="297">
        <v>0</v>
      </c>
      <c r="CD39" s="712"/>
    </row>
    <row r="40" spans="1:82" ht="22.5" x14ac:dyDescent="0.2">
      <c r="A40" s="703"/>
      <c r="B40" s="292" t="s">
        <v>1381</v>
      </c>
      <c r="C40" s="293" t="s">
        <v>637</v>
      </c>
      <c r="D40" s="512"/>
      <c r="E40" s="704"/>
      <c r="F40" s="310" t="s">
        <v>638</v>
      </c>
      <c r="G40" s="505"/>
      <c r="H40" s="505"/>
      <c r="I40" s="300"/>
      <c r="J40" s="300"/>
      <c r="K40" s="300"/>
      <c r="L40" s="300"/>
      <c r="M40" s="298"/>
      <c r="N40" s="298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8"/>
      <c r="AF40" s="298"/>
      <c r="AG40" s="298"/>
      <c r="AH40" s="296"/>
      <c r="AI40" s="296"/>
      <c r="AJ40" s="296"/>
      <c r="AK40" s="499">
        <f>AN40-AH40</f>
        <v>1488</v>
      </c>
      <c r="AL40" s="499">
        <f t="shared" si="11"/>
        <v>402</v>
      </c>
      <c r="AM40" s="499">
        <f t="shared" si="11"/>
        <v>1890</v>
      </c>
      <c r="AN40" s="499">
        <v>1488</v>
      </c>
      <c r="AO40" s="499">
        <v>402</v>
      </c>
      <c r="AP40" s="499">
        <f t="shared" ref="AP40:AP46" si="12">SUM(AN40:AO40)</f>
        <v>1890</v>
      </c>
      <c r="AQ40" s="499">
        <f t="shared" si="8"/>
        <v>0</v>
      </c>
      <c r="AR40" s="499">
        <f t="shared" si="6"/>
        <v>0</v>
      </c>
      <c r="AS40" s="499">
        <f t="shared" si="6"/>
        <v>0</v>
      </c>
      <c r="AT40" s="499">
        <v>1488</v>
      </c>
      <c r="AU40" s="499">
        <v>402</v>
      </c>
      <c r="AV40" s="499">
        <f t="shared" ref="AV40:AV46" si="13">SUM(AT40:AU40)</f>
        <v>1890</v>
      </c>
      <c r="AW40" s="499"/>
      <c r="AX40" s="499"/>
      <c r="AY40" s="499"/>
      <c r="AZ40" s="499">
        <v>1488</v>
      </c>
      <c r="BA40" s="499">
        <v>402</v>
      </c>
      <c r="BB40" s="499">
        <v>1890</v>
      </c>
      <c r="BC40" s="499">
        <f t="shared" si="10"/>
        <v>330</v>
      </c>
      <c r="BD40" s="499">
        <f t="shared" si="10"/>
        <v>88</v>
      </c>
      <c r="BE40" s="499">
        <f t="shared" si="10"/>
        <v>418</v>
      </c>
      <c r="BF40" s="499">
        <v>1818</v>
      </c>
      <c r="BG40" s="499">
        <v>490</v>
      </c>
      <c r="BH40" s="499">
        <f>SUM(BF40:BG40)</f>
        <v>2308</v>
      </c>
      <c r="BI40" s="717"/>
      <c r="BJ40" s="717"/>
      <c r="BK40" s="717"/>
      <c r="BL40" s="717"/>
      <c r="BM40" s="717"/>
      <c r="BN40" s="713"/>
      <c r="BO40" s="713"/>
      <c r="BP40" s="300"/>
      <c r="BQ40" s="717"/>
      <c r="BR40" s="713"/>
      <c r="BS40" s="713"/>
      <c r="BT40" s="713"/>
      <c r="BU40" s="713"/>
      <c r="BV40" s="713"/>
      <c r="BW40" s="713"/>
      <c r="BX40" s="713"/>
      <c r="BY40" s="300"/>
      <c r="BZ40" s="717"/>
      <c r="CA40" s="713"/>
      <c r="CB40" s="297">
        <v>1818780</v>
      </c>
      <c r="CC40" s="297">
        <v>2309</v>
      </c>
      <c r="CD40" s="713"/>
    </row>
    <row r="41" spans="1:82" x14ac:dyDescent="0.2">
      <c r="A41" s="702" t="s">
        <v>408</v>
      </c>
      <c r="B41" s="292" t="s">
        <v>1384</v>
      </c>
      <c r="C41" s="293" t="s">
        <v>640</v>
      </c>
      <c r="D41" s="314" t="s">
        <v>641</v>
      </c>
      <c r="E41" s="715" t="s">
        <v>642</v>
      </c>
      <c r="F41" s="294" t="s">
        <v>1385</v>
      </c>
      <c r="G41" s="296"/>
      <c r="H41" s="296"/>
      <c r="I41" s="296"/>
      <c r="J41" s="297"/>
      <c r="K41" s="297"/>
      <c r="L41" s="297"/>
      <c r="M41" s="499"/>
      <c r="N41" s="499"/>
      <c r="O41" s="499"/>
      <c r="P41" s="298"/>
      <c r="Q41" s="298"/>
      <c r="R41" s="298"/>
      <c r="S41" s="298"/>
      <c r="T41" s="298"/>
      <c r="U41" s="298"/>
      <c r="V41" s="298"/>
      <c r="W41" s="298"/>
      <c r="X41" s="298"/>
      <c r="Y41" s="298"/>
      <c r="Z41" s="298"/>
      <c r="AA41" s="298"/>
      <c r="AB41" s="298"/>
      <c r="AC41" s="298"/>
      <c r="AD41" s="298"/>
      <c r="AE41" s="298"/>
      <c r="AF41" s="298"/>
      <c r="AG41" s="298"/>
      <c r="AH41" s="296">
        <v>15798</v>
      </c>
      <c r="AI41" s="296"/>
      <c r="AJ41" s="296">
        <f t="shared" ref="AJ41:AJ46" si="14">SUM(AH41:AI41)</f>
        <v>15798</v>
      </c>
      <c r="AK41" s="499">
        <f t="shared" ref="AK41:AK46" si="15">AN41-AH41</f>
        <v>0</v>
      </c>
      <c r="AL41" s="499">
        <f t="shared" si="11"/>
        <v>0</v>
      </c>
      <c r="AM41" s="499">
        <f t="shared" si="11"/>
        <v>0</v>
      </c>
      <c r="AN41" s="296">
        <v>15798</v>
      </c>
      <c r="AO41" s="296"/>
      <c r="AP41" s="296">
        <f t="shared" si="12"/>
        <v>15798</v>
      </c>
      <c r="AQ41" s="499">
        <f t="shared" si="8"/>
        <v>0</v>
      </c>
      <c r="AR41" s="499">
        <f t="shared" si="6"/>
        <v>0</v>
      </c>
      <c r="AS41" s="499">
        <f t="shared" si="6"/>
        <v>0</v>
      </c>
      <c r="AT41" s="499">
        <v>15798</v>
      </c>
      <c r="AU41" s="499"/>
      <c r="AV41" s="499">
        <f t="shared" si="13"/>
        <v>15798</v>
      </c>
      <c r="AW41" s="499"/>
      <c r="AX41" s="499"/>
      <c r="AY41" s="499"/>
      <c r="AZ41" s="499">
        <v>15798</v>
      </c>
      <c r="BA41" s="499"/>
      <c r="BB41" s="499">
        <v>15798</v>
      </c>
      <c r="BC41" s="499">
        <f t="shared" si="10"/>
        <v>0</v>
      </c>
      <c r="BD41" s="499">
        <f t="shared" si="10"/>
        <v>0</v>
      </c>
      <c r="BE41" s="499">
        <f t="shared" si="10"/>
        <v>0</v>
      </c>
      <c r="BF41" s="499">
        <v>15798</v>
      </c>
      <c r="BG41" s="499"/>
      <c r="BH41" s="499">
        <v>15798</v>
      </c>
      <c r="BI41" s="711">
        <f>SUM(I41:I134)</f>
        <v>802114</v>
      </c>
      <c r="BJ41" s="711">
        <f>SUM(L41:L131)</f>
        <v>40275</v>
      </c>
      <c r="BK41" s="711">
        <f>SUM(O41:O131)</f>
        <v>842389</v>
      </c>
      <c r="BL41" s="711">
        <f>SUM(R41:R131)</f>
        <v>874080</v>
      </c>
      <c r="BM41" s="711">
        <f>SUM(U41:U131)</f>
        <v>1716469</v>
      </c>
      <c r="BN41" s="711">
        <f>SUM(AD41:AD131)</f>
        <v>-42561</v>
      </c>
      <c r="BO41" s="711">
        <f>SUM(AG41:AI134)</f>
        <v>1855254</v>
      </c>
      <c r="BP41" s="718"/>
      <c r="BQ41" s="711">
        <f>SUM(AG41:AG134)</f>
        <v>1680575</v>
      </c>
      <c r="BR41" s="711">
        <f>SUM(AJ41:AJ134)</f>
        <v>174679</v>
      </c>
      <c r="BS41" s="711">
        <f>SUM(AM41:AM131)</f>
        <v>0</v>
      </c>
      <c r="BT41" s="711">
        <f>SUM(AP41:AP131)</f>
        <v>174679</v>
      </c>
      <c r="BU41" s="711">
        <f>SUM(AS41:AS131)</f>
        <v>0</v>
      </c>
      <c r="BV41" s="711">
        <f>SUM(AV41:AV131)</f>
        <v>174679</v>
      </c>
      <c r="BW41" s="711">
        <f>SUM(BE41:BE131)</f>
        <v>0</v>
      </c>
      <c r="BX41" s="711">
        <f>SUM(BB41:BB134)</f>
        <v>174679</v>
      </c>
      <c r="BY41" s="718"/>
      <c r="BZ41" s="711">
        <f>SUM(BH41:BH134)</f>
        <v>174679</v>
      </c>
      <c r="CA41" s="711">
        <f>SUM(BQ41,BZ41)</f>
        <v>1855254</v>
      </c>
      <c r="CB41" s="297">
        <v>15798190</v>
      </c>
      <c r="CC41" s="297">
        <v>15798</v>
      </c>
      <c r="CD41" s="711">
        <f>SUM(CC41:CC134)</f>
        <v>1855254</v>
      </c>
    </row>
    <row r="42" spans="1:82" x14ac:dyDescent="0.2">
      <c r="A42" s="703"/>
      <c r="B42" s="292" t="s">
        <v>1384</v>
      </c>
      <c r="C42" s="293" t="s">
        <v>643</v>
      </c>
      <c r="D42" s="314" t="s">
        <v>641</v>
      </c>
      <c r="E42" s="716"/>
      <c r="F42" s="294" t="s">
        <v>1386</v>
      </c>
      <c r="G42" s="296"/>
      <c r="H42" s="296"/>
      <c r="I42" s="296"/>
      <c r="J42" s="297"/>
      <c r="K42" s="297"/>
      <c r="L42" s="297"/>
      <c r="M42" s="499"/>
      <c r="N42" s="499"/>
      <c r="O42" s="499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  <c r="AB42" s="298"/>
      <c r="AC42" s="298"/>
      <c r="AD42" s="298"/>
      <c r="AE42" s="298"/>
      <c r="AF42" s="298"/>
      <c r="AG42" s="298"/>
      <c r="AH42" s="296">
        <v>15798</v>
      </c>
      <c r="AI42" s="296"/>
      <c r="AJ42" s="296">
        <f t="shared" si="14"/>
        <v>15798</v>
      </c>
      <c r="AK42" s="499">
        <f t="shared" si="15"/>
        <v>0</v>
      </c>
      <c r="AL42" s="499">
        <f t="shared" si="11"/>
        <v>0</v>
      </c>
      <c r="AM42" s="499">
        <f t="shared" si="11"/>
        <v>0</v>
      </c>
      <c r="AN42" s="296">
        <v>15798</v>
      </c>
      <c r="AO42" s="296"/>
      <c r="AP42" s="296">
        <f t="shared" si="12"/>
        <v>15798</v>
      </c>
      <c r="AQ42" s="499">
        <f t="shared" si="8"/>
        <v>0</v>
      </c>
      <c r="AR42" s="499">
        <f t="shared" si="6"/>
        <v>0</v>
      </c>
      <c r="AS42" s="499">
        <f t="shared" si="6"/>
        <v>0</v>
      </c>
      <c r="AT42" s="499">
        <v>15798</v>
      </c>
      <c r="AU42" s="499"/>
      <c r="AV42" s="499">
        <f t="shared" si="13"/>
        <v>15798</v>
      </c>
      <c r="AW42" s="499"/>
      <c r="AX42" s="499"/>
      <c r="AY42" s="499"/>
      <c r="AZ42" s="499">
        <v>15798</v>
      </c>
      <c r="BA42" s="499"/>
      <c r="BB42" s="499">
        <v>15798</v>
      </c>
      <c r="BC42" s="499">
        <f t="shared" si="10"/>
        <v>0</v>
      </c>
      <c r="BD42" s="499">
        <f t="shared" si="10"/>
        <v>0</v>
      </c>
      <c r="BE42" s="499">
        <f t="shared" si="10"/>
        <v>0</v>
      </c>
      <c r="BF42" s="499">
        <v>15798</v>
      </c>
      <c r="BG42" s="499"/>
      <c r="BH42" s="499">
        <v>15798</v>
      </c>
      <c r="BI42" s="712"/>
      <c r="BJ42" s="712"/>
      <c r="BK42" s="712"/>
      <c r="BL42" s="714"/>
      <c r="BM42" s="712"/>
      <c r="BN42" s="712"/>
      <c r="BO42" s="712"/>
      <c r="BP42" s="714"/>
      <c r="BQ42" s="714"/>
      <c r="BR42" s="712"/>
      <c r="BS42" s="712"/>
      <c r="BT42" s="712"/>
      <c r="BU42" s="714"/>
      <c r="BV42" s="714"/>
      <c r="BW42" s="712"/>
      <c r="BX42" s="712"/>
      <c r="BY42" s="714"/>
      <c r="BZ42" s="714"/>
      <c r="CA42" s="712"/>
      <c r="CB42" s="297">
        <v>15798190</v>
      </c>
      <c r="CC42" s="297">
        <v>15798</v>
      </c>
      <c r="CD42" s="712"/>
    </row>
    <row r="43" spans="1:82" x14ac:dyDescent="0.2">
      <c r="A43" s="703"/>
      <c r="B43" s="292" t="s">
        <v>1384</v>
      </c>
      <c r="C43" s="293" t="s">
        <v>644</v>
      </c>
      <c r="D43" s="314" t="s">
        <v>641</v>
      </c>
      <c r="E43" s="716"/>
      <c r="F43" s="294" t="s">
        <v>1387</v>
      </c>
      <c r="G43" s="296"/>
      <c r="H43" s="296"/>
      <c r="I43" s="296"/>
      <c r="J43" s="297"/>
      <c r="K43" s="297"/>
      <c r="L43" s="297"/>
      <c r="M43" s="499"/>
      <c r="N43" s="499"/>
      <c r="O43" s="499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298"/>
      <c r="AB43" s="298"/>
      <c r="AC43" s="298"/>
      <c r="AD43" s="298"/>
      <c r="AE43" s="298"/>
      <c r="AF43" s="298"/>
      <c r="AG43" s="298"/>
      <c r="AH43" s="296">
        <v>26722</v>
      </c>
      <c r="AI43" s="296"/>
      <c r="AJ43" s="296">
        <f t="shared" si="14"/>
        <v>26722</v>
      </c>
      <c r="AK43" s="499">
        <f t="shared" si="15"/>
        <v>0</v>
      </c>
      <c r="AL43" s="499">
        <f t="shared" si="11"/>
        <v>0</v>
      </c>
      <c r="AM43" s="499">
        <f t="shared" si="11"/>
        <v>0</v>
      </c>
      <c r="AN43" s="296">
        <v>26722</v>
      </c>
      <c r="AO43" s="296"/>
      <c r="AP43" s="296">
        <f t="shared" si="12"/>
        <v>26722</v>
      </c>
      <c r="AQ43" s="499">
        <f t="shared" si="8"/>
        <v>0</v>
      </c>
      <c r="AR43" s="499">
        <f t="shared" si="6"/>
        <v>0</v>
      </c>
      <c r="AS43" s="499">
        <f t="shared" si="6"/>
        <v>0</v>
      </c>
      <c r="AT43" s="499">
        <v>26722</v>
      </c>
      <c r="AU43" s="499"/>
      <c r="AV43" s="499">
        <f t="shared" si="13"/>
        <v>26722</v>
      </c>
      <c r="AW43" s="499"/>
      <c r="AX43" s="499"/>
      <c r="AY43" s="499"/>
      <c r="AZ43" s="499">
        <v>26722</v>
      </c>
      <c r="BA43" s="499"/>
      <c r="BB43" s="499">
        <v>26722</v>
      </c>
      <c r="BC43" s="499">
        <f t="shared" si="10"/>
        <v>0</v>
      </c>
      <c r="BD43" s="499">
        <f t="shared" si="10"/>
        <v>0</v>
      </c>
      <c r="BE43" s="499">
        <f t="shared" si="10"/>
        <v>0</v>
      </c>
      <c r="BF43" s="499">
        <v>26722</v>
      </c>
      <c r="BG43" s="499"/>
      <c r="BH43" s="499">
        <v>26722</v>
      </c>
      <c r="BI43" s="712"/>
      <c r="BJ43" s="712"/>
      <c r="BK43" s="712"/>
      <c r="BL43" s="714"/>
      <c r="BM43" s="712"/>
      <c r="BN43" s="712"/>
      <c r="BO43" s="712"/>
      <c r="BP43" s="714"/>
      <c r="BQ43" s="714"/>
      <c r="BR43" s="712"/>
      <c r="BS43" s="712"/>
      <c r="BT43" s="712"/>
      <c r="BU43" s="714"/>
      <c r="BV43" s="714"/>
      <c r="BW43" s="712"/>
      <c r="BX43" s="712"/>
      <c r="BY43" s="714"/>
      <c r="BZ43" s="714"/>
      <c r="CA43" s="712"/>
      <c r="CB43" s="297">
        <v>26721660</v>
      </c>
      <c r="CC43" s="297">
        <v>26722</v>
      </c>
      <c r="CD43" s="712"/>
    </row>
    <row r="44" spans="1:82" x14ac:dyDescent="0.2">
      <c r="A44" s="703"/>
      <c r="B44" s="292" t="s">
        <v>1384</v>
      </c>
      <c r="C44" s="293" t="s">
        <v>645</v>
      </c>
      <c r="D44" s="314" t="s">
        <v>641</v>
      </c>
      <c r="E44" s="716"/>
      <c r="F44" s="294" t="s">
        <v>1388</v>
      </c>
      <c r="G44" s="296"/>
      <c r="H44" s="296"/>
      <c r="I44" s="296"/>
      <c r="J44" s="297"/>
      <c r="K44" s="297"/>
      <c r="L44" s="297"/>
      <c r="M44" s="499"/>
      <c r="N44" s="499"/>
      <c r="O44" s="499"/>
      <c r="P44" s="298"/>
      <c r="Q44" s="298"/>
      <c r="R44" s="298"/>
      <c r="S44" s="298"/>
      <c r="T44" s="298"/>
      <c r="U44" s="298"/>
      <c r="V44" s="298"/>
      <c r="W44" s="298"/>
      <c r="X44" s="298"/>
      <c r="Y44" s="298"/>
      <c r="Z44" s="298"/>
      <c r="AA44" s="298"/>
      <c r="AB44" s="298"/>
      <c r="AC44" s="298"/>
      <c r="AD44" s="298"/>
      <c r="AE44" s="298"/>
      <c r="AF44" s="298"/>
      <c r="AG44" s="298"/>
      <c r="AH44" s="296">
        <v>26722</v>
      </c>
      <c r="AI44" s="296"/>
      <c r="AJ44" s="296">
        <f t="shared" si="14"/>
        <v>26722</v>
      </c>
      <c r="AK44" s="499">
        <f t="shared" si="15"/>
        <v>0</v>
      </c>
      <c r="AL44" s="499">
        <f t="shared" si="11"/>
        <v>0</v>
      </c>
      <c r="AM44" s="499">
        <f t="shared" si="11"/>
        <v>0</v>
      </c>
      <c r="AN44" s="296">
        <v>26722</v>
      </c>
      <c r="AO44" s="296"/>
      <c r="AP44" s="296">
        <f t="shared" si="12"/>
        <v>26722</v>
      </c>
      <c r="AQ44" s="499">
        <f t="shared" si="8"/>
        <v>0</v>
      </c>
      <c r="AR44" s="499">
        <f t="shared" si="6"/>
        <v>0</v>
      </c>
      <c r="AS44" s="499">
        <f t="shared" si="6"/>
        <v>0</v>
      </c>
      <c r="AT44" s="499">
        <v>26722</v>
      </c>
      <c r="AU44" s="499"/>
      <c r="AV44" s="499">
        <f t="shared" si="13"/>
        <v>26722</v>
      </c>
      <c r="AW44" s="499"/>
      <c r="AX44" s="499"/>
      <c r="AY44" s="499"/>
      <c r="AZ44" s="499">
        <v>26722</v>
      </c>
      <c r="BA44" s="499"/>
      <c r="BB44" s="499">
        <v>26722</v>
      </c>
      <c r="BC44" s="499">
        <f t="shared" si="10"/>
        <v>0</v>
      </c>
      <c r="BD44" s="499">
        <f t="shared" si="10"/>
        <v>0</v>
      </c>
      <c r="BE44" s="499">
        <f t="shared" si="10"/>
        <v>0</v>
      </c>
      <c r="BF44" s="499">
        <v>26722</v>
      </c>
      <c r="BG44" s="499"/>
      <c r="BH44" s="499">
        <v>26722</v>
      </c>
      <c r="BI44" s="712"/>
      <c r="BJ44" s="712"/>
      <c r="BK44" s="712"/>
      <c r="BL44" s="714"/>
      <c r="BM44" s="712"/>
      <c r="BN44" s="712"/>
      <c r="BO44" s="712"/>
      <c r="BP44" s="714"/>
      <c r="BQ44" s="714"/>
      <c r="BR44" s="712"/>
      <c r="BS44" s="712"/>
      <c r="BT44" s="712"/>
      <c r="BU44" s="714"/>
      <c r="BV44" s="714"/>
      <c r="BW44" s="712"/>
      <c r="BX44" s="712"/>
      <c r="BY44" s="714"/>
      <c r="BZ44" s="714"/>
      <c r="CA44" s="712"/>
      <c r="CB44" s="297">
        <v>26721660</v>
      </c>
      <c r="CC44" s="297">
        <v>26722</v>
      </c>
      <c r="CD44" s="712"/>
    </row>
    <row r="45" spans="1:82" x14ac:dyDescent="0.2">
      <c r="A45" s="703"/>
      <c r="B45" s="292" t="s">
        <v>1384</v>
      </c>
      <c r="C45" s="293" t="s">
        <v>646</v>
      </c>
      <c r="D45" s="314" t="s">
        <v>641</v>
      </c>
      <c r="E45" s="716"/>
      <c r="F45" s="294" t="s">
        <v>1389</v>
      </c>
      <c r="G45" s="296"/>
      <c r="H45" s="296"/>
      <c r="I45" s="296"/>
      <c r="J45" s="297"/>
      <c r="K45" s="297"/>
      <c r="L45" s="297"/>
      <c r="M45" s="499"/>
      <c r="N45" s="499"/>
      <c r="O45" s="499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6">
        <v>46561</v>
      </c>
      <c r="AI45" s="296"/>
      <c r="AJ45" s="296">
        <f t="shared" si="14"/>
        <v>46561</v>
      </c>
      <c r="AK45" s="499">
        <f t="shared" si="15"/>
        <v>0</v>
      </c>
      <c r="AL45" s="499">
        <f t="shared" si="11"/>
        <v>0</v>
      </c>
      <c r="AM45" s="499">
        <f t="shared" si="11"/>
        <v>0</v>
      </c>
      <c r="AN45" s="296">
        <v>46561</v>
      </c>
      <c r="AO45" s="296"/>
      <c r="AP45" s="296">
        <f t="shared" si="12"/>
        <v>46561</v>
      </c>
      <c r="AQ45" s="499">
        <f t="shared" si="8"/>
        <v>0</v>
      </c>
      <c r="AR45" s="499">
        <f t="shared" si="6"/>
        <v>0</v>
      </c>
      <c r="AS45" s="499">
        <f t="shared" si="6"/>
        <v>0</v>
      </c>
      <c r="AT45" s="499">
        <v>46561</v>
      </c>
      <c r="AU45" s="499"/>
      <c r="AV45" s="499">
        <f t="shared" si="13"/>
        <v>46561</v>
      </c>
      <c r="AW45" s="499"/>
      <c r="AX45" s="499"/>
      <c r="AY45" s="499"/>
      <c r="AZ45" s="499">
        <v>46561</v>
      </c>
      <c r="BA45" s="499"/>
      <c r="BB45" s="499">
        <v>46561</v>
      </c>
      <c r="BC45" s="499">
        <f t="shared" ref="BC45:BE46" si="16">BF45-AT45</f>
        <v>0</v>
      </c>
      <c r="BD45" s="499">
        <f t="shared" si="16"/>
        <v>0</v>
      </c>
      <c r="BE45" s="499">
        <f t="shared" si="16"/>
        <v>0</v>
      </c>
      <c r="BF45" s="499">
        <v>46561</v>
      </c>
      <c r="BG45" s="499"/>
      <c r="BH45" s="499">
        <v>46561</v>
      </c>
      <c r="BI45" s="712"/>
      <c r="BJ45" s="712"/>
      <c r="BK45" s="712"/>
      <c r="BL45" s="714"/>
      <c r="BM45" s="712"/>
      <c r="BN45" s="712"/>
      <c r="BO45" s="712"/>
      <c r="BP45" s="714"/>
      <c r="BQ45" s="714"/>
      <c r="BR45" s="712"/>
      <c r="BS45" s="712"/>
      <c r="BT45" s="712"/>
      <c r="BU45" s="714"/>
      <c r="BV45" s="714"/>
      <c r="BW45" s="712"/>
      <c r="BX45" s="712"/>
      <c r="BY45" s="714"/>
      <c r="BZ45" s="714"/>
      <c r="CA45" s="712"/>
      <c r="CB45" s="297">
        <v>46561260</v>
      </c>
      <c r="CC45" s="297">
        <v>46561</v>
      </c>
      <c r="CD45" s="712"/>
    </row>
    <row r="46" spans="1:82" x14ac:dyDescent="0.2">
      <c r="A46" s="703"/>
      <c r="B46" s="292" t="s">
        <v>1384</v>
      </c>
      <c r="C46" s="293" t="s">
        <v>647</v>
      </c>
      <c r="D46" s="314" t="s">
        <v>641</v>
      </c>
      <c r="E46" s="716"/>
      <c r="F46" s="294" t="s">
        <v>1390</v>
      </c>
      <c r="G46" s="296"/>
      <c r="H46" s="296"/>
      <c r="I46" s="296"/>
      <c r="J46" s="297"/>
      <c r="K46" s="297"/>
      <c r="L46" s="297"/>
      <c r="M46" s="499"/>
      <c r="N46" s="499"/>
      <c r="O46" s="499"/>
      <c r="P46" s="298"/>
      <c r="Q46" s="298"/>
      <c r="R46" s="298"/>
      <c r="S46" s="298"/>
      <c r="T46" s="298"/>
      <c r="U46" s="298"/>
      <c r="V46" s="298"/>
      <c r="W46" s="298"/>
      <c r="X46" s="298"/>
      <c r="Y46" s="298"/>
      <c r="Z46" s="298"/>
      <c r="AA46" s="298"/>
      <c r="AB46" s="298"/>
      <c r="AC46" s="298"/>
      <c r="AD46" s="298"/>
      <c r="AE46" s="298"/>
      <c r="AF46" s="298"/>
      <c r="AG46" s="298"/>
      <c r="AH46" s="296">
        <v>43078</v>
      </c>
      <c r="AI46" s="296"/>
      <c r="AJ46" s="296">
        <f t="shared" si="14"/>
        <v>43078</v>
      </c>
      <c r="AK46" s="499">
        <f t="shared" si="15"/>
        <v>0</v>
      </c>
      <c r="AL46" s="499">
        <f t="shared" si="11"/>
        <v>0</v>
      </c>
      <c r="AM46" s="499">
        <f t="shared" si="11"/>
        <v>0</v>
      </c>
      <c r="AN46" s="296">
        <v>43078</v>
      </c>
      <c r="AO46" s="296"/>
      <c r="AP46" s="296">
        <f t="shared" si="12"/>
        <v>43078</v>
      </c>
      <c r="AQ46" s="499">
        <f t="shared" si="8"/>
        <v>0</v>
      </c>
      <c r="AR46" s="499">
        <f t="shared" si="6"/>
        <v>0</v>
      </c>
      <c r="AS46" s="499">
        <f t="shared" si="6"/>
        <v>0</v>
      </c>
      <c r="AT46" s="499">
        <v>43078</v>
      </c>
      <c r="AU46" s="499"/>
      <c r="AV46" s="499">
        <f t="shared" si="13"/>
        <v>43078</v>
      </c>
      <c r="AW46" s="499"/>
      <c r="AX46" s="499"/>
      <c r="AY46" s="499"/>
      <c r="AZ46" s="499">
        <v>43078</v>
      </c>
      <c r="BA46" s="499"/>
      <c r="BB46" s="499">
        <v>43078</v>
      </c>
      <c r="BC46" s="499">
        <f t="shared" si="16"/>
        <v>0</v>
      </c>
      <c r="BD46" s="499">
        <f t="shared" si="16"/>
        <v>0</v>
      </c>
      <c r="BE46" s="499">
        <f t="shared" si="16"/>
        <v>0</v>
      </c>
      <c r="BF46" s="499">
        <v>43078</v>
      </c>
      <c r="BG46" s="499"/>
      <c r="BH46" s="499">
        <v>43078</v>
      </c>
      <c r="BI46" s="712"/>
      <c r="BJ46" s="712"/>
      <c r="BK46" s="712"/>
      <c r="BL46" s="714"/>
      <c r="BM46" s="712"/>
      <c r="BN46" s="712"/>
      <c r="BO46" s="712"/>
      <c r="BP46" s="714"/>
      <c r="BQ46" s="714"/>
      <c r="BR46" s="712"/>
      <c r="BS46" s="712"/>
      <c r="BT46" s="712"/>
      <c r="BU46" s="714"/>
      <c r="BV46" s="714"/>
      <c r="BW46" s="712"/>
      <c r="BX46" s="712"/>
      <c r="BY46" s="714"/>
      <c r="BZ46" s="714"/>
      <c r="CA46" s="712"/>
      <c r="CB46" s="297">
        <v>43077640</v>
      </c>
      <c r="CC46" s="297">
        <v>43078</v>
      </c>
      <c r="CD46" s="712"/>
    </row>
    <row r="47" spans="1:82" x14ac:dyDescent="0.2">
      <c r="A47" s="703"/>
      <c r="B47" s="292" t="s">
        <v>639</v>
      </c>
      <c r="C47" s="293" t="s">
        <v>1143</v>
      </c>
      <c r="D47" s="314" t="s">
        <v>641</v>
      </c>
      <c r="E47" s="702" t="s">
        <v>648</v>
      </c>
      <c r="F47" s="315" t="s">
        <v>1391</v>
      </c>
      <c r="G47" s="516">
        <v>20000</v>
      </c>
      <c r="H47" s="516"/>
      <c r="I47" s="516">
        <v>20000</v>
      </c>
      <c r="J47" s="516">
        <f t="shared" ref="J47:L62" si="17">M47-G47</f>
        <v>-20000</v>
      </c>
      <c r="K47" s="516">
        <f t="shared" si="17"/>
        <v>0</v>
      </c>
      <c r="L47" s="516">
        <f t="shared" si="17"/>
        <v>-20000</v>
      </c>
      <c r="M47" s="499">
        <v>0</v>
      </c>
      <c r="N47" s="499">
        <f>SUM(N48:N66)</f>
        <v>0</v>
      </c>
      <c r="O47" s="499">
        <f t="shared" ref="O47:O53" si="18">SUM(M47:N47)</f>
        <v>0</v>
      </c>
      <c r="P47" s="499">
        <f t="shared" ref="P47:R75" si="19">S47-M47</f>
        <v>0</v>
      </c>
      <c r="Q47" s="499">
        <f t="shared" si="19"/>
        <v>0</v>
      </c>
      <c r="R47" s="499">
        <f t="shared" si="19"/>
        <v>0</v>
      </c>
      <c r="S47" s="499">
        <v>0</v>
      </c>
      <c r="T47" s="499">
        <f>SUM(T48:T66)</f>
        <v>0</v>
      </c>
      <c r="U47" s="499">
        <f t="shared" ref="U47:U53" si="20">SUM(S47:T47)</f>
        <v>0</v>
      </c>
      <c r="V47" s="499"/>
      <c r="W47" s="499"/>
      <c r="X47" s="499"/>
      <c r="Y47" s="499">
        <v>0</v>
      </c>
      <c r="Z47" s="499">
        <v>0</v>
      </c>
      <c r="AA47" s="499">
        <v>0</v>
      </c>
      <c r="AB47" s="499">
        <f t="shared" ref="AB47:AD86" si="21">AE47-S47</f>
        <v>0</v>
      </c>
      <c r="AC47" s="499">
        <f t="shared" si="21"/>
        <v>0</v>
      </c>
      <c r="AD47" s="499">
        <f t="shared" si="21"/>
        <v>0</v>
      </c>
      <c r="AE47" s="499">
        <v>0</v>
      </c>
      <c r="AF47" s="499">
        <v>0</v>
      </c>
      <c r="AG47" s="499">
        <v>0</v>
      </c>
      <c r="AH47" s="299"/>
      <c r="AI47" s="296"/>
      <c r="AJ47" s="499"/>
      <c r="AK47" s="298"/>
      <c r="AL47" s="298"/>
      <c r="AM47" s="298"/>
      <c r="AN47" s="298"/>
      <c r="AO47" s="298"/>
      <c r="AP47" s="298"/>
      <c r="AQ47" s="298"/>
      <c r="AR47" s="298"/>
      <c r="AS47" s="298"/>
      <c r="AT47" s="298"/>
      <c r="AU47" s="298"/>
      <c r="AV47" s="298"/>
      <c r="AW47" s="298"/>
      <c r="AX47" s="298"/>
      <c r="AY47" s="298"/>
      <c r="AZ47" s="298"/>
      <c r="BA47" s="298"/>
      <c r="BB47" s="298"/>
      <c r="BC47" s="499"/>
      <c r="BD47" s="499"/>
      <c r="BE47" s="499"/>
      <c r="BF47" s="298"/>
      <c r="BG47" s="298"/>
      <c r="BH47" s="298"/>
      <c r="BI47" s="712"/>
      <c r="BJ47" s="712"/>
      <c r="BK47" s="712"/>
      <c r="BL47" s="714"/>
      <c r="BM47" s="712"/>
      <c r="BN47" s="712"/>
      <c r="BO47" s="712"/>
      <c r="BP47" s="714"/>
      <c r="BQ47" s="714"/>
      <c r="BR47" s="712"/>
      <c r="BS47" s="712"/>
      <c r="BT47" s="712"/>
      <c r="BU47" s="714"/>
      <c r="BV47" s="714"/>
      <c r="BW47" s="712"/>
      <c r="BX47" s="712"/>
      <c r="BY47" s="714"/>
      <c r="BZ47" s="714"/>
      <c r="CA47" s="712"/>
      <c r="CB47" s="297">
        <v>0</v>
      </c>
      <c r="CC47" s="297">
        <v>0</v>
      </c>
      <c r="CD47" s="712"/>
    </row>
    <row r="48" spans="1:82" ht="22.5" x14ac:dyDescent="0.2">
      <c r="A48" s="703"/>
      <c r="B48" s="292" t="s">
        <v>1384</v>
      </c>
      <c r="C48" s="293" t="s">
        <v>649</v>
      </c>
      <c r="D48" s="314"/>
      <c r="E48" s="703"/>
      <c r="F48" s="315" t="s">
        <v>650</v>
      </c>
      <c r="G48" s="296"/>
      <c r="H48" s="296"/>
      <c r="I48" s="296"/>
      <c r="J48" s="296">
        <f t="shared" si="17"/>
        <v>266</v>
      </c>
      <c r="K48" s="296">
        <f t="shared" si="17"/>
        <v>0</v>
      </c>
      <c r="L48" s="296">
        <f t="shared" si="17"/>
        <v>266</v>
      </c>
      <c r="M48" s="499">
        <v>266</v>
      </c>
      <c r="N48" s="499">
        <v>0</v>
      </c>
      <c r="O48" s="499">
        <f t="shared" si="18"/>
        <v>266</v>
      </c>
      <c r="P48" s="499">
        <f t="shared" si="19"/>
        <v>0</v>
      </c>
      <c r="Q48" s="499">
        <f t="shared" si="19"/>
        <v>0</v>
      </c>
      <c r="R48" s="499">
        <f t="shared" si="19"/>
        <v>0</v>
      </c>
      <c r="S48" s="499">
        <v>266</v>
      </c>
      <c r="T48" s="499">
        <v>0</v>
      </c>
      <c r="U48" s="499">
        <f t="shared" si="20"/>
        <v>266</v>
      </c>
      <c r="V48" s="499"/>
      <c r="W48" s="499"/>
      <c r="X48" s="499"/>
      <c r="Y48" s="499">
        <v>266</v>
      </c>
      <c r="Z48" s="499">
        <v>0</v>
      </c>
      <c r="AA48" s="499">
        <v>266</v>
      </c>
      <c r="AB48" s="499">
        <f t="shared" si="21"/>
        <v>0</v>
      </c>
      <c r="AC48" s="499">
        <f t="shared" si="21"/>
        <v>0</v>
      </c>
      <c r="AD48" s="499">
        <f t="shared" si="21"/>
        <v>0</v>
      </c>
      <c r="AE48" s="499">
        <v>266</v>
      </c>
      <c r="AF48" s="499">
        <v>0</v>
      </c>
      <c r="AG48" s="499">
        <v>266</v>
      </c>
      <c r="AH48" s="299"/>
      <c r="AI48" s="296"/>
      <c r="AJ48" s="499"/>
      <c r="AK48" s="298"/>
      <c r="AL48" s="298"/>
      <c r="AM48" s="298"/>
      <c r="AN48" s="298"/>
      <c r="AO48" s="298"/>
      <c r="AP48" s="298"/>
      <c r="AQ48" s="298"/>
      <c r="AR48" s="298"/>
      <c r="AS48" s="298"/>
      <c r="AT48" s="298"/>
      <c r="AU48" s="298"/>
      <c r="AV48" s="298"/>
      <c r="AW48" s="298"/>
      <c r="AX48" s="298"/>
      <c r="AY48" s="298"/>
      <c r="AZ48" s="298"/>
      <c r="BA48" s="298"/>
      <c r="BB48" s="298"/>
      <c r="BC48" s="499"/>
      <c r="BD48" s="499"/>
      <c r="BE48" s="499"/>
      <c r="BF48" s="298"/>
      <c r="BG48" s="298"/>
      <c r="BH48" s="298"/>
      <c r="BI48" s="712"/>
      <c r="BJ48" s="712"/>
      <c r="BK48" s="712"/>
      <c r="BL48" s="714"/>
      <c r="BM48" s="712"/>
      <c r="BN48" s="712"/>
      <c r="BO48" s="712"/>
      <c r="BP48" s="714"/>
      <c r="BQ48" s="714"/>
      <c r="BR48" s="712"/>
      <c r="BS48" s="712"/>
      <c r="BT48" s="712"/>
      <c r="BU48" s="714"/>
      <c r="BV48" s="714"/>
      <c r="BW48" s="712"/>
      <c r="BX48" s="712"/>
      <c r="BY48" s="714"/>
      <c r="BZ48" s="714"/>
      <c r="CA48" s="712"/>
      <c r="CB48" s="297">
        <v>265800</v>
      </c>
      <c r="CC48" s="297">
        <v>266</v>
      </c>
      <c r="CD48" s="712"/>
    </row>
    <row r="49" spans="1:82" x14ac:dyDescent="0.2">
      <c r="A49" s="703"/>
      <c r="B49" s="292" t="s">
        <v>1384</v>
      </c>
      <c r="C49" s="293" t="s">
        <v>651</v>
      </c>
      <c r="D49" s="314"/>
      <c r="E49" s="703"/>
      <c r="F49" s="315" t="s">
        <v>652</v>
      </c>
      <c r="G49" s="296"/>
      <c r="H49" s="296"/>
      <c r="I49" s="296"/>
      <c r="J49" s="296">
        <f t="shared" si="17"/>
        <v>1097</v>
      </c>
      <c r="K49" s="296">
        <f t="shared" si="17"/>
        <v>0</v>
      </c>
      <c r="L49" s="296">
        <f t="shared" si="17"/>
        <v>1097</v>
      </c>
      <c r="M49" s="499">
        <v>1097</v>
      </c>
      <c r="N49" s="499">
        <v>0</v>
      </c>
      <c r="O49" s="499">
        <f t="shared" si="18"/>
        <v>1097</v>
      </c>
      <c r="P49" s="499">
        <f t="shared" si="19"/>
        <v>0</v>
      </c>
      <c r="Q49" s="499">
        <f t="shared" si="19"/>
        <v>0</v>
      </c>
      <c r="R49" s="499">
        <f t="shared" si="19"/>
        <v>0</v>
      </c>
      <c r="S49" s="499">
        <v>1097</v>
      </c>
      <c r="T49" s="499">
        <v>0</v>
      </c>
      <c r="U49" s="499">
        <f t="shared" si="20"/>
        <v>1097</v>
      </c>
      <c r="V49" s="499"/>
      <c r="W49" s="499"/>
      <c r="X49" s="499"/>
      <c r="Y49" s="499">
        <v>1097</v>
      </c>
      <c r="Z49" s="499">
        <v>0</v>
      </c>
      <c r="AA49" s="499">
        <v>1097</v>
      </c>
      <c r="AB49" s="499">
        <f t="shared" si="21"/>
        <v>0</v>
      </c>
      <c r="AC49" s="499">
        <f t="shared" si="21"/>
        <v>0</v>
      </c>
      <c r="AD49" s="499">
        <f t="shared" si="21"/>
        <v>0</v>
      </c>
      <c r="AE49" s="499">
        <v>1097</v>
      </c>
      <c r="AF49" s="499">
        <v>0</v>
      </c>
      <c r="AG49" s="499">
        <v>1097</v>
      </c>
      <c r="AH49" s="299"/>
      <c r="AI49" s="296"/>
      <c r="AJ49" s="499"/>
      <c r="AK49" s="298"/>
      <c r="AL49" s="298"/>
      <c r="AM49" s="298"/>
      <c r="AN49" s="298"/>
      <c r="AO49" s="298"/>
      <c r="AP49" s="298"/>
      <c r="AQ49" s="298"/>
      <c r="AR49" s="298"/>
      <c r="AS49" s="298"/>
      <c r="AT49" s="298"/>
      <c r="AU49" s="298"/>
      <c r="AV49" s="298"/>
      <c r="AW49" s="298"/>
      <c r="AX49" s="298"/>
      <c r="AY49" s="298"/>
      <c r="AZ49" s="298"/>
      <c r="BA49" s="298"/>
      <c r="BB49" s="298"/>
      <c r="BC49" s="499"/>
      <c r="BD49" s="499"/>
      <c r="BE49" s="499"/>
      <c r="BF49" s="298"/>
      <c r="BG49" s="298"/>
      <c r="BH49" s="298"/>
      <c r="BI49" s="712"/>
      <c r="BJ49" s="712"/>
      <c r="BK49" s="712"/>
      <c r="BL49" s="714"/>
      <c r="BM49" s="712"/>
      <c r="BN49" s="712"/>
      <c r="BO49" s="712"/>
      <c r="BP49" s="714"/>
      <c r="BQ49" s="714"/>
      <c r="BR49" s="712"/>
      <c r="BS49" s="712"/>
      <c r="BT49" s="712"/>
      <c r="BU49" s="714"/>
      <c r="BV49" s="714"/>
      <c r="BW49" s="712"/>
      <c r="BX49" s="712"/>
      <c r="BY49" s="714"/>
      <c r="BZ49" s="714"/>
      <c r="CA49" s="712"/>
      <c r="CB49" s="297">
        <v>1097100</v>
      </c>
      <c r="CC49" s="297">
        <v>1097</v>
      </c>
      <c r="CD49" s="712"/>
    </row>
    <row r="50" spans="1:82" x14ac:dyDescent="0.2">
      <c r="A50" s="703"/>
      <c r="B50" s="292" t="s">
        <v>1384</v>
      </c>
      <c r="C50" s="293" t="s">
        <v>653</v>
      </c>
      <c r="D50" s="314"/>
      <c r="E50" s="703"/>
      <c r="F50" s="315" t="s">
        <v>654</v>
      </c>
      <c r="G50" s="296"/>
      <c r="H50" s="296"/>
      <c r="I50" s="296"/>
      <c r="J50" s="296">
        <f t="shared" si="17"/>
        <v>1097</v>
      </c>
      <c r="K50" s="296">
        <f t="shared" si="17"/>
        <v>0</v>
      </c>
      <c r="L50" s="296">
        <f t="shared" si="17"/>
        <v>1097</v>
      </c>
      <c r="M50" s="499">
        <v>1097</v>
      </c>
      <c r="N50" s="499">
        <v>0</v>
      </c>
      <c r="O50" s="499">
        <f t="shared" si="18"/>
        <v>1097</v>
      </c>
      <c r="P50" s="499">
        <f t="shared" si="19"/>
        <v>0</v>
      </c>
      <c r="Q50" s="499">
        <f t="shared" si="19"/>
        <v>0</v>
      </c>
      <c r="R50" s="499">
        <f t="shared" si="19"/>
        <v>0</v>
      </c>
      <c r="S50" s="499">
        <v>1097</v>
      </c>
      <c r="T50" s="499">
        <v>0</v>
      </c>
      <c r="U50" s="499">
        <f t="shared" si="20"/>
        <v>1097</v>
      </c>
      <c r="V50" s="499"/>
      <c r="W50" s="499"/>
      <c r="X50" s="499"/>
      <c r="Y50" s="499">
        <v>1097</v>
      </c>
      <c r="Z50" s="499">
        <v>0</v>
      </c>
      <c r="AA50" s="499">
        <v>1097</v>
      </c>
      <c r="AB50" s="499">
        <f t="shared" si="21"/>
        <v>0</v>
      </c>
      <c r="AC50" s="499">
        <f t="shared" si="21"/>
        <v>0</v>
      </c>
      <c r="AD50" s="499">
        <f t="shared" si="21"/>
        <v>0</v>
      </c>
      <c r="AE50" s="499">
        <v>1097</v>
      </c>
      <c r="AF50" s="499">
        <v>0</v>
      </c>
      <c r="AG50" s="499">
        <v>1097</v>
      </c>
      <c r="AH50" s="299"/>
      <c r="AI50" s="296"/>
      <c r="AJ50" s="499"/>
      <c r="AK50" s="298"/>
      <c r="AL50" s="298"/>
      <c r="AM50" s="298"/>
      <c r="AN50" s="298"/>
      <c r="AO50" s="298"/>
      <c r="AP50" s="298"/>
      <c r="AQ50" s="298"/>
      <c r="AR50" s="298"/>
      <c r="AS50" s="298"/>
      <c r="AT50" s="298"/>
      <c r="AU50" s="298"/>
      <c r="AV50" s="298"/>
      <c r="AW50" s="298"/>
      <c r="AX50" s="298"/>
      <c r="AY50" s="298"/>
      <c r="AZ50" s="298"/>
      <c r="BA50" s="298"/>
      <c r="BB50" s="298"/>
      <c r="BC50" s="499"/>
      <c r="BD50" s="499"/>
      <c r="BE50" s="499"/>
      <c r="BF50" s="298"/>
      <c r="BG50" s="298"/>
      <c r="BH50" s="298"/>
      <c r="BI50" s="712"/>
      <c r="BJ50" s="712"/>
      <c r="BK50" s="712"/>
      <c r="BL50" s="714"/>
      <c r="BM50" s="712"/>
      <c r="BN50" s="712"/>
      <c r="BO50" s="712"/>
      <c r="BP50" s="714"/>
      <c r="BQ50" s="714"/>
      <c r="BR50" s="712"/>
      <c r="BS50" s="712"/>
      <c r="BT50" s="712"/>
      <c r="BU50" s="714"/>
      <c r="BV50" s="714"/>
      <c r="BW50" s="712"/>
      <c r="BX50" s="712"/>
      <c r="BY50" s="714"/>
      <c r="BZ50" s="714"/>
      <c r="CA50" s="712"/>
      <c r="CB50" s="297">
        <v>1097700</v>
      </c>
      <c r="CC50" s="297">
        <v>1098</v>
      </c>
      <c r="CD50" s="712"/>
    </row>
    <row r="51" spans="1:82" s="550" customFormat="1" x14ac:dyDescent="0.2">
      <c r="A51" s="703"/>
      <c r="B51" s="292" t="s">
        <v>1384</v>
      </c>
      <c r="C51" s="293" t="s">
        <v>655</v>
      </c>
      <c r="D51" s="316"/>
      <c r="E51" s="703"/>
      <c r="F51" s="315" t="s">
        <v>656</v>
      </c>
      <c r="G51" s="296"/>
      <c r="H51" s="296"/>
      <c r="I51" s="296"/>
      <c r="J51" s="296">
        <f t="shared" si="17"/>
        <v>2204</v>
      </c>
      <c r="K51" s="296">
        <f t="shared" si="17"/>
        <v>0</v>
      </c>
      <c r="L51" s="296">
        <f t="shared" si="17"/>
        <v>2204</v>
      </c>
      <c r="M51" s="499">
        <v>2204</v>
      </c>
      <c r="N51" s="499">
        <v>0</v>
      </c>
      <c r="O51" s="499">
        <f t="shared" si="18"/>
        <v>2204</v>
      </c>
      <c r="P51" s="499">
        <f t="shared" si="19"/>
        <v>0</v>
      </c>
      <c r="Q51" s="499">
        <f t="shared" si="19"/>
        <v>0</v>
      </c>
      <c r="R51" s="499">
        <f t="shared" si="19"/>
        <v>0</v>
      </c>
      <c r="S51" s="499">
        <v>2204</v>
      </c>
      <c r="T51" s="499">
        <v>0</v>
      </c>
      <c r="U51" s="499">
        <f t="shared" si="20"/>
        <v>2204</v>
      </c>
      <c r="V51" s="499"/>
      <c r="W51" s="499"/>
      <c r="X51" s="499"/>
      <c r="Y51" s="499">
        <v>2204</v>
      </c>
      <c r="Z51" s="499">
        <v>0</v>
      </c>
      <c r="AA51" s="499">
        <v>2204</v>
      </c>
      <c r="AB51" s="499">
        <f t="shared" si="21"/>
        <v>0</v>
      </c>
      <c r="AC51" s="499">
        <f t="shared" si="21"/>
        <v>0</v>
      </c>
      <c r="AD51" s="499">
        <f t="shared" si="21"/>
        <v>0</v>
      </c>
      <c r="AE51" s="499">
        <v>2204</v>
      </c>
      <c r="AF51" s="499">
        <v>0</v>
      </c>
      <c r="AG51" s="499">
        <v>2204</v>
      </c>
      <c r="AH51" s="299"/>
      <c r="AI51" s="296"/>
      <c r="AJ51" s="499"/>
      <c r="AK51" s="298"/>
      <c r="AL51" s="298"/>
      <c r="AM51" s="298"/>
      <c r="AN51" s="298"/>
      <c r="AO51" s="298"/>
      <c r="AP51" s="298"/>
      <c r="AQ51" s="298"/>
      <c r="AR51" s="298"/>
      <c r="AS51" s="298"/>
      <c r="AT51" s="298"/>
      <c r="AU51" s="298"/>
      <c r="AV51" s="298"/>
      <c r="AW51" s="298"/>
      <c r="AX51" s="298"/>
      <c r="AY51" s="298"/>
      <c r="AZ51" s="298"/>
      <c r="BA51" s="298"/>
      <c r="BB51" s="298"/>
      <c r="BC51" s="499"/>
      <c r="BD51" s="499"/>
      <c r="BE51" s="499"/>
      <c r="BF51" s="298"/>
      <c r="BG51" s="298"/>
      <c r="BH51" s="298"/>
      <c r="BI51" s="712"/>
      <c r="BJ51" s="712"/>
      <c r="BK51" s="712"/>
      <c r="BL51" s="714"/>
      <c r="BM51" s="712"/>
      <c r="BN51" s="712"/>
      <c r="BO51" s="712"/>
      <c r="BP51" s="714"/>
      <c r="BQ51" s="714"/>
      <c r="BR51" s="712"/>
      <c r="BS51" s="712"/>
      <c r="BT51" s="712"/>
      <c r="BU51" s="714"/>
      <c r="BV51" s="714"/>
      <c r="BW51" s="712"/>
      <c r="BX51" s="712"/>
      <c r="BY51" s="714"/>
      <c r="BZ51" s="714"/>
      <c r="CA51" s="712"/>
      <c r="CB51" s="297">
        <v>2204400</v>
      </c>
      <c r="CC51" s="297">
        <v>2204</v>
      </c>
      <c r="CD51" s="712"/>
    </row>
    <row r="52" spans="1:82" x14ac:dyDescent="0.2">
      <c r="A52" s="703"/>
      <c r="B52" s="292" t="s">
        <v>1384</v>
      </c>
      <c r="C52" s="293" t="s">
        <v>657</v>
      </c>
      <c r="D52" s="314"/>
      <c r="E52" s="703"/>
      <c r="F52" s="315" t="s">
        <v>658</v>
      </c>
      <c r="G52" s="296"/>
      <c r="H52" s="296"/>
      <c r="I52" s="296"/>
      <c r="J52" s="296">
        <f t="shared" si="17"/>
        <v>90</v>
      </c>
      <c r="K52" s="296">
        <f t="shared" si="17"/>
        <v>0</v>
      </c>
      <c r="L52" s="296">
        <f t="shared" si="17"/>
        <v>90</v>
      </c>
      <c r="M52" s="499">
        <v>90</v>
      </c>
      <c r="N52" s="499">
        <v>0</v>
      </c>
      <c r="O52" s="499">
        <f t="shared" si="18"/>
        <v>90</v>
      </c>
      <c r="P52" s="499">
        <f t="shared" si="19"/>
        <v>0</v>
      </c>
      <c r="Q52" s="499">
        <f t="shared" si="19"/>
        <v>0</v>
      </c>
      <c r="R52" s="499">
        <f t="shared" si="19"/>
        <v>0</v>
      </c>
      <c r="S52" s="499">
        <v>90</v>
      </c>
      <c r="T52" s="499">
        <v>0</v>
      </c>
      <c r="U52" s="499">
        <f t="shared" si="20"/>
        <v>90</v>
      </c>
      <c r="V52" s="499"/>
      <c r="W52" s="499"/>
      <c r="X52" s="499"/>
      <c r="Y52" s="499">
        <v>90</v>
      </c>
      <c r="Z52" s="499">
        <v>0</v>
      </c>
      <c r="AA52" s="499">
        <v>90</v>
      </c>
      <c r="AB52" s="499">
        <f t="shared" si="21"/>
        <v>0</v>
      </c>
      <c r="AC52" s="499">
        <f t="shared" si="21"/>
        <v>0</v>
      </c>
      <c r="AD52" s="499">
        <f t="shared" si="21"/>
        <v>0</v>
      </c>
      <c r="AE52" s="499">
        <v>90</v>
      </c>
      <c r="AF52" s="499">
        <v>0</v>
      </c>
      <c r="AG52" s="499">
        <v>90</v>
      </c>
      <c r="AH52" s="299"/>
      <c r="AI52" s="296"/>
      <c r="AJ52" s="499"/>
      <c r="AK52" s="298"/>
      <c r="AL52" s="298"/>
      <c r="AM52" s="298"/>
      <c r="AN52" s="298"/>
      <c r="AO52" s="298"/>
      <c r="AP52" s="298"/>
      <c r="AQ52" s="298"/>
      <c r="AR52" s="298"/>
      <c r="AS52" s="298"/>
      <c r="AT52" s="298"/>
      <c r="AU52" s="298"/>
      <c r="AV52" s="298"/>
      <c r="AW52" s="298"/>
      <c r="AX52" s="298"/>
      <c r="AY52" s="298"/>
      <c r="AZ52" s="298"/>
      <c r="BA52" s="298"/>
      <c r="BB52" s="298"/>
      <c r="BC52" s="499"/>
      <c r="BD52" s="499"/>
      <c r="BE52" s="499"/>
      <c r="BF52" s="298"/>
      <c r="BG52" s="298"/>
      <c r="BH52" s="298"/>
      <c r="BI52" s="712"/>
      <c r="BJ52" s="712"/>
      <c r="BK52" s="712"/>
      <c r="BL52" s="714"/>
      <c r="BM52" s="712"/>
      <c r="BN52" s="712"/>
      <c r="BO52" s="712"/>
      <c r="BP52" s="714"/>
      <c r="BQ52" s="714"/>
      <c r="BR52" s="712"/>
      <c r="BS52" s="712"/>
      <c r="BT52" s="712"/>
      <c r="BU52" s="714"/>
      <c r="BV52" s="714"/>
      <c r="BW52" s="712"/>
      <c r="BX52" s="712"/>
      <c r="BY52" s="714"/>
      <c r="BZ52" s="714"/>
      <c r="CA52" s="712"/>
      <c r="CB52" s="297">
        <v>90300</v>
      </c>
      <c r="CC52" s="297">
        <v>90</v>
      </c>
      <c r="CD52" s="712"/>
    </row>
    <row r="53" spans="1:82" x14ac:dyDescent="0.2">
      <c r="A53" s="703"/>
      <c r="B53" s="292" t="s">
        <v>1384</v>
      </c>
      <c r="C53" s="293" t="s">
        <v>659</v>
      </c>
      <c r="D53" s="314"/>
      <c r="E53" s="703"/>
      <c r="F53" s="315" t="s">
        <v>660</v>
      </c>
      <c r="G53" s="296"/>
      <c r="H53" s="296"/>
      <c r="I53" s="296"/>
      <c r="J53" s="296">
        <f t="shared" si="17"/>
        <v>217</v>
      </c>
      <c r="K53" s="296">
        <f t="shared" si="17"/>
        <v>0</v>
      </c>
      <c r="L53" s="296">
        <f t="shared" si="17"/>
        <v>217</v>
      </c>
      <c r="M53" s="499">
        <v>217</v>
      </c>
      <c r="N53" s="499">
        <v>0</v>
      </c>
      <c r="O53" s="499">
        <f t="shared" si="18"/>
        <v>217</v>
      </c>
      <c r="P53" s="499">
        <f t="shared" si="19"/>
        <v>0</v>
      </c>
      <c r="Q53" s="499">
        <f t="shared" si="19"/>
        <v>0</v>
      </c>
      <c r="R53" s="499">
        <f t="shared" si="19"/>
        <v>0</v>
      </c>
      <c r="S53" s="499">
        <v>217</v>
      </c>
      <c r="T53" s="499">
        <v>0</v>
      </c>
      <c r="U53" s="499">
        <f t="shared" si="20"/>
        <v>217</v>
      </c>
      <c r="V53" s="499"/>
      <c r="W53" s="499"/>
      <c r="X53" s="499"/>
      <c r="Y53" s="499">
        <v>217</v>
      </c>
      <c r="Z53" s="499">
        <v>0</v>
      </c>
      <c r="AA53" s="499">
        <v>217</v>
      </c>
      <c r="AB53" s="499">
        <f t="shared" si="21"/>
        <v>0</v>
      </c>
      <c r="AC53" s="499">
        <f t="shared" si="21"/>
        <v>0</v>
      </c>
      <c r="AD53" s="499">
        <f t="shared" si="21"/>
        <v>0</v>
      </c>
      <c r="AE53" s="499">
        <v>217</v>
      </c>
      <c r="AF53" s="499">
        <v>0</v>
      </c>
      <c r="AG53" s="499">
        <v>217</v>
      </c>
      <c r="AH53" s="299"/>
      <c r="AI53" s="296"/>
      <c r="AJ53" s="499"/>
      <c r="AK53" s="298"/>
      <c r="AL53" s="298"/>
      <c r="AM53" s="298"/>
      <c r="AN53" s="298"/>
      <c r="AO53" s="298"/>
      <c r="AP53" s="298"/>
      <c r="AQ53" s="298"/>
      <c r="AR53" s="298"/>
      <c r="AS53" s="298"/>
      <c r="AT53" s="298"/>
      <c r="AU53" s="298"/>
      <c r="AV53" s="298"/>
      <c r="AW53" s="298"/>
      <c r="AX53" s="298"/>
      <c r="AY53" s="298"/>
      <c r="AZ53" s="298"/>
      <c r="BA53" s="298"/>
      <c r="BB53" s="298"/>
      <c r="BC53" s="499"/>
      <c r="BD53" s="499"/>
      <c r="BE53" s="499"/>
      <c r="BF53" s="298"/>
      <c r="BG53" s="298"/>
      <c r="BH53" s="298"/>
      <c r="BI53" s="712"/>
      <c r="BJ53" s="712"/>
      <c r="BK53" s="712"/>
      <c r="BL53" s="714"/>
      <c r="BM53" s="712"/>
      <c r="BN53" s="712"/>
      <c r="BO53" s="712"/>
      <c r="BP53" s="714"/>
      <c r="BQ53" s="714"/>
      <c r="BR53" s="712"/>
      <c r="BS53" s="712"/>
      <c r="BT53" s="712"/>
      <c r="BU53" s="714"/>
      <c r="BV53" s="714"/>
      <c r="BW53" s="712"/>
      <c r="BX53" s="712"/>
      <c r="BY53" s="714"/>
      <c r="BZ53" s="714"/>
      <c r="CA53" s="712"/>
      <c r="CB53" s="297">
        <v>217200</v>
      </c>
      <c r="CC53" s="297">
        <v>217</v>
      </c>
      <c r="CD53" s="712"/>
    </row>
    <row r="54" spans="1:82" x14ac:dyDescent="0.2">
      <c r="A54" s="703"/>
      <c r="B54" s="292" t="s">
        <v>1384</v>
      </c>
      <c r="C54" s="293" t="s">
        <v>661</v>
      </c>
      <c r="D54" s="314" t="s">
        <v>641</v>
      </c>
      <c r="E54" s="703"/>
      <c r="F54" s="315" t="s">
        <v>662</v>
      </c>
      <c r="G54" s="296"/>
      <c r="H54" s="296"/>
      <c r="I54" s="296"/>
      <c r="J54" s="296">
        <f t="shared" si="17"/>
        <v>225</v>
      </c>
      <c r="K54" s="296">
        <f t="shared" si="17"/>
        <v>0</v>
      </c>
      <c r="L54" s="296">
        <f t="shared" si="17"/>
        <v>225</v>
      </c>
      <c r="M54" s="499">
        <v>225</v>
      </c>
      <c r="N54" s="499">
        <v>0</v>
      </c>
      <c r="O54" s="499">
        <f>SUM(M54:N54)</f>
        <v>225</v>
      </c>
      <c r="P54" s="499">
        <f t="shared" si="19"/>
        <v>0</v>
      </c>
      <c r="Q54" s="499">
        <f t="shared" si="19"/>
        <v>0</v>
      </c>
      <c r="R54" s="499">
        <f t="shared" si="19"/>
        <v>0</v>
      </c>
      <c r="S54" s="499">
        <v>225</v>
      </c>
      <c r="T54" s="499">
        <v>0</v>
      </c>
      <c r="U54" s="499">
        <f>SUM(S54:T54)</f>
        <v>225</v>
      </c>
      <c r="V54" s="499"/>
      <c r="W54" s="499"/>
      <c r="X54" s="499"/>
      <c r="Y54" s="499">
        <v>225</v>
      </c>
      <c r="Z54" s="499">
        <v>0</v>
      </c>
      <c r="AA54" s="499">
        <v>225</v>
      </c>
      <c r="AB54" s="499">
        <f t="shared" si="21"/>
        <v>0</v>
      </c>
      <c r="AC54" s="499">
        <f t="shared" si="21"/>
        <v>0</v>
      </c>
      <c r="AD54" s="499">
        <f t="shared" si="21"/>
        <v>0</v>
      </c>
      <c r="AE54" s="499">
        <v>225</v>
      </c>
      <c r="AF54" s="499">
        <v>0</v>
      </c>
      <c r="AG54" s="499">
        <v>225</v>
      </c>
      <c r="AH54" s="299"/>
      <c r="AI54" s="296"/>
      <c r="AJ54" s="499"/>
      <c r="AK54" s="298"/>
      <c r="AL54" s="298"/>
      <c r="AM54" s="298"/>
      <c r="AN54" s="298"/>
      <c r="AO54" s="298"/>
      <c r="AP54" s="298"/>
      <c r="AQ54" s="298"/>
      <c r="AR54" s="298"/>
      <c r="AS54" s="298"/>
      <c r="AT54" s="298"/>
      <c r="AU54" s="298"/>
      <c r="AV54" s="298"/>
      <c r="AW54" s="298"/>
      <c r="AX54" s="298"/>
      <c r="AY54" s="298"/>
      <c r="AZ54" s="298"/>
      <c r="BA54" s="298"/>
      <c r="BB54" s="298"/>
      <c r="BC54" s="499"/>
      <c r="BD54" s="499"/>
      <c r="BE54" s="499"/>
      <c r="BF54" s="298"/>
      <c r="BG54" s="298"/>
      <c r="BH54" s="298"/>
      <c r="BI54" s="712"/>
      <c r="BJ54" s="712"/>
      <c r="BK54" s="712"/>
      <c r="BL54" s="714"/>
      <c r="BM54" s="712"/>
      <c r="BN54" s="712"/>
      <c r="BO54" s="712"/>
      <c r="BP54" s="714"/>
      <c r="BQ54" s="714"/>
      <c r="BR54" s="712"/>
      <c r="BS54" s="712"/>
      <c r="BT54" s="712"/>
      <c r="BU54" s="714"/>
      <c r="BV54" s="714"/>
      <c r="BW54" s="712"/>
      <c r="BX54" s="712"/>
      <c r="BY54" s="714"/>
      <c r="BZ54" s="714"/>
      <c r="CA54" s="712"/>
      <c r="CB54" s="297">
        <v>225000</v>
      </c>
      <c r="CC54" s="297">
        <v>225</v>
      </c>
      <c r="CD54" s="712"/>
    </row>
    <row r="55" spans="1:82" ht="22.5" x14ac:dyDescent="0.2">
      <c r="A55" s="703"/>
      <c r="B55" s="292" t="s">
        <v>1384</v>
      </c>
      <c r="C55" s="293" t="s">
        <v>663</v>
      </c>
      <c r="D55" s="314"/>
      <c r="E55" s="703"/>
      <c r="F55" s="315" t="s">
        <v>664</v>
      </c>
      <c r="G55" s="296"/>
      <c r="H55" s="296"/>
      <c r="I55" s="296"/>
      <c r="J55" s="296">
        <f t="shared" si="17"/>
        <v>6000</v>
      </c>
      <c r="K55" s="296">
        <f t="shared" si="17"/>
        <v>0</v>
      </c>
      <c r="L55" s="296">
        <f t="shared" si="17"/>
        <v>6000</v>
      </c>
      <c r="M55" s="499">
        <v>6000</v>
      </c>
      <c r="N55" s="499">
        <v>0</v>
      </c>
      <c r="O55" s="499">
        <f>SUM(M55:N55)</f>
        <v>6000</v>
      </c>
      <c r="P55" s="499">
        <f t="shared" si="19"/>
        <v>0</v>
      </c>
      <c r="Q55" s="499">
        <f t="shared" si="19"/>
        <v>0</v>
      </c>
      <c r="R55" s="499">
        <f t="shared" si="19"/>
        <v>0</v>
      </c>
      <c r="S55" s="499">
        <v>6000</v>
      </c>
      <c r="T55" s="499">
        <v>0</v>
      </c>
      <c r="U55" s="499">
        <f>SUM(S55:T55)</f>
        <v>6000</v>
      </c>
      <c r="V55" s="499"/>
      <c r="W55" s="499"/>
      <c r="X55" s="499"/>
      <c r="Y55" s="499">
        <v>6000</v>
      </c>
      <c r="Z55" s="499">
        <v>0</v>
      </c>
      <c r="AA55" s="499">
        <v>6000</v>
      </c>
      <c r="AB55" s="499">
        <f t="shared" si="21"/>
        <v>0</v>
      </c>
      <c r="AC55" s="499">
        <f t="shared" si="21"/>
        <v>0</v>
      </c>
      <c r="AD55" s="499">
        <f t="shared" si="21"/>
        <v>0</v>
      </c>
      <c r="AE55" s="499">
        <v>6000</v>
      </c>
      <c r="AF55" s="499">
        <v>0</v>
      </c>
      <c r="AG55" s="499">
        <v>6000</v>
      </c>
      <c r="AH55" s="299"/>
      <c r="AI55" s="296"/>
      <c r="AJ55" s="499"/>
      <c r="AK55" s="298"/>
      <c r="AL55" s="298"/>
      <c r="AM55" s="298"/>
      <c r="AN55" s="298"/>
      <c r="AO55" s="298"/>
      <c r="AP55" s="298"/>
      <c r="AQ55" s="298"/>
      <c r="AR55" s="298"/>
      <c r="AS55" s="298"/>
      <c r="AT55" s="298"/>
      <c r="AU55" s="298"/>
      <c r="AV55" s="298"/>
      <c r="AW55" s="298"/>
      <c r="AX55" s="298"/>
      <c r="AY55" s="298"/>
      <c r="AZ55" s="298"/>
      <c r="BA55" s="298"/>
      <c r="BB55" s="298"/>
      <c r="BC55" s="499"/>
      <c r="BD55" s="499"/>
      <c r="BE55" s="499"/>
      <c r="BF55" s="298"/>
      <c r="BG55" s="298"/>
      <c r="BH55" s="298"/>
      <c r="BI55" s="712"/>
      <c r="BJ55" s="712"/>
      <c r="BK55" s="712"/>
      <c r="BL55" s="714"/>
      <c r="BM55" s="712"/>
      <c r="BN55" s="712"/>
      <c r="BO55" s="712"/>
      <c r="BP55" s="714"/>
      <c r="BQ55" s="714"/>
      <c r="BR55" s="712"/>
      <c r="BS55" s="712"/>
      <c r="BT55" s="712"/>
      <c r="BU55" s="714"/>
      <c r="BV55" s="714"/>
      <c r="BW55" s="712"/>
      <c r="BX55" s="712"/>
      <c r="BY55" s="714"/>
      <c r="BZ55" s="714"/>
      <c r="CA55" s="712"/>
      <c r="CB55" s="297">
        <v>5999700</v>
      </c>
      <c r="CC55" s="297">
        <v>6000</v>
      </c>
      <c r="CD55" s="712"/>
    </row>
    <row r="56" spans="1:82" ht="22.5" x14ac:dyDescent="0.2">
      <c r="A56" s="703"/>
      <c r="B56" s="292" t="s">
        <v>1384</v>
      </c>
      <c r="C56" s="293" t="s">
        <v>665</v>
      </c>
      <c r="D56" s="314"/>
      <c r="E56" s="703"/>
      <c r="F56" s="315" t="s">
        <v>666</v>
      </c>
      <c r="G56" s="296"/>
      <c r="H56" s="296"/>
      <c r="I56" s="296"/>
      <c r="J56" s="296">
        <f t="shared" si="17"/>
        <v>11157</v>
      </c>
      <c r="K56" s="296">
        <f t="shared" si="17"/>
        <v>0</v>
      </c>
      <c r="L56" s="296">
        <f t="shared" si="17"/>
        <v>11157</v>
      </c>
      <c r="M56" s="499">
        <v>11157</v>
      </c>
      <c r="N56" s="499">
        <v>0</v>
      </c>
      <c r="O56" s="499">
        <f t="shared" ref="O56:O75" si="22">SUM(M56:N56)</f>
        <v>11157</v>
      </c>
      <c r="P56" s="499">
        <f t="shared" si="19"/>
        <v>0</v>
      </c>
      <c r="Q56" s="499">
        <f t="shared" si="19"/>
        <v>0</v>
      </c>
      <c r="R56" s="499">
        <f t="shared" si="19"/>
        <v>0</v>
      </c>
      <c r="S56" s="499">
        <v>11157</v>
      </c>
      <c r="T56" s="499">
        <v>0</v>
      </c>
      <c r="U56" s="499">
        <f t="shared" ref="U56:U84" si="23">SUM(S56:T56)</f>
        <v>11157</v>
      </c>
      <c r="V56" s="499"/>
      <c r="W56" s="499"/>
      <c r="X56" s="499"/>
      <c r="Y56" s="499">
        <v>11157</v>
      </c>
      <c r="Z56" s="499">
        <v>0</v>
      </c>
      <c r="AA56" s="499">
        <v>11157</v>
      </c>
      <c r="AB56" s="499">
        <f t="shared" si="21"/>
        <v>0</v>
      </c>
      <c r="AC56" s="499">
        <f t="shared" si="21"/>
        <v>0</v>
      </c>
      <c r="AD56" s="499">
        <f t="shared" si="21"/>
        <v>0</v>
      </c>
      <c r="AE56" s="499">
        <v>11157</v>
      </c>
      <c r="AF56" s="499">
        <v>0</v>
      </c>
      <c r="AG56" s="499">
        <v>11157</v>
      </c>
      <c r="AH56" s="299"/>
      <c r="AI56" s="296"/>
      <c r="AJ56" s="499"/>
      <c r="AK56" s="298"/>
      <c r="AL56" s="298"/>
      <c r="AM56" s="298"/>
      <c r="AN56" s="298"/>
      <c r="AO56" s="298"/>
      <c r="AP56" s="298"/>
      <c r="AQ56" s="298"/>
      <c r="AR56" s="298"/>
      <c r="AS56" s="298"/>
      <c r="AT56" s="298"/>
      <c r="AU56" s="298"/>
      <c r="AV56" s="298"/>
      <c r="AW56" s="298"/>
      <c r="AX56" s="298"/>
      <c r="AY56" s="298"/>
      <c r="AZ56" s="298"/>
      <c r="BA56" s="298"/>
      <c r="BB56" s="298"/>
      <c r="BC56" s="499"/>
      <c r="BD56" s="499"/>
      <c r="BE56" s="499"/>
      <c r="BF56" s="298"/>
      <c r="BG56" s="298"/>
      <c r="BH56" s="298"/>
      <c r="BI56" s="712"/>
      <c r="BJ56" s="712"/>
      <c r="BK56" s="712"/>
      <c r="BL56" s="714"/>
      <c r="BM56" s="712"/>
      <c r="BN56" s="712"/>
      <c r="BO56" s="712"/>
      <c r="BP56" s="714"/>
      <c r="BQ56" s="714"/>
      <c r="BR56" s="712"/>
      <c r="BS56" s="712"/>
      <c r="BT56" s="712"/>
      <c r="BU56" s="714"/>
      <c r="BV56" s="714"/>
      <c r="BW56" s="712"/>
      <c r="BX56" s="712"/>
      <c r="BY56" s="714"/>
      <c r="BZ56" s="714"/>
      <c r="CA56" s="712"/>
      <c r="CB56" s="297">
        <v>11157300</v>
      </c>
      <c r="CC56" s="297">
        <v>11157</v>
      </c>
      <c r="CD56" s="712"/>
    </row>
    <row r="57" spans="1:82" ht="22.5" x14ac:dyDescent="0.2">
      <c r="A57" s="703"/>
      <c r="B57" s="292" t="s">
        <v>1384</v>
      </c>
      <c r="C57" s="293" t="s">
        <v>667</v>
      </c>
      <c r="D57" s="314"/>
      <c r="E57" s="703"/>
      <c r="F57" s="315" t="s">
        <v>668</v>
      </c>
      <c r="G57" s="296"/>
      <c r="H57" s="296"/>
      <c r="I57" s="296"/>
      <c r="J57" s="296">
        <f t="shared" si="17"/>
        <v>1183</v>
      </c>
      <c r="K57" s="296">
        <f t="shared" si="17"/>
        <v>0</v>
      </c>
      <c r="L57" s="296">
        <f t="shared" si="17"/>
        <v>1183</v>
      </c>
      <c r="M57" s="499">
        <v>1183</v>
      </c>
      <c r="N57" s="499">
        <v>0</v>
      </c>
      <c r="O57" s="499">
        <f t="shared" si="22"/>
        <v>1183</v>
      </c>
      <c r="P57" s="499">
        <f t="shared" si="19"/>
        <v>0</v>
      </c>
      <c r="Q57" s="499">
        <f t="shared" si="19"/>
        <v>0</v>
      </c>
      <c r="R57" s="499">
        <f t="shared" si="19"/>
        <v>0</v>
      </c>
      <c r="S57" s="499">
        <v>1183</v>
      </c>
      <c r="T57" s="499">
        <v>0</v>
      </c>
      <c r="U57" s="499">
        <f t="shared" si="23"/>
        <v>1183</v>
      </c>
      <c r="V57" s="499"/>
      <c r="W57" s="499"/>
      <c r="X57" s="499"/>
      <c r="Y57" s="499">
        <v>1183</v>
      </c>
      <c r="Z57" s="499">
        <v>0</v>
      </c>
      <c r="AA57" s="499">
        <v>1183</v>
      </c>
      <c r="AB57" s="499">
        <f t="shared" si="21"/>
        <v>0</v>
      </c>
      <c r="AC57" s="499">
        <f t="shared" si="21"/>
        <v>0</v>
      </c>
      <c r="AD57" s="499">
        <f t="shared" si="21"/>
        <v>0</v>
      </c>
      <c r="AE57" s="499">
        <v>1183</v>
      </c>
      <c r="AF57" s="499">
        <v>0</v>
      </c>
      <c r="AG57" s="499">
        <v>1183</v>
      </c>
      <c r="AH57" s="299"/>
      <c r="AI57" s="296"/>
      <c r="AJ57" s="499"/>
      <c r="AK57" s="298"/>
      <c r="AL57" s="298"/>
      <c r="AM57" s="298"/>
      <c r="AN57" s="298"/>
      <c r="AO57" s="298"/>
      <c r="AP57" s="298"/>
      <c r="AQ57" s="298"/>
      <c r="AR57" s="298"/>
      <c r="AS57" s="298"/>
      <c r="AT57" s="298"/>
      <c r="AU57" s="298"/>
      <c r="AV57" s="298"/>
      <c r="AW57" s="298"/>
      <c r="AX57" s="298"/>
      <c r="AY57" s="298"/>
      <c r="AZ57" s="298"/>
      <c r="BA57" s="298"/>
      <c r="BB57" s="298"/>
      <c r="BC57" s="499"/>
      <c r="BD57" s="499"/>
      <c r="BE57" s="499"/>
      <c r="BF57" s="298"/>
      <c r="BG57" s="298"/>
      <c r="BH57" s="298"/>
      <c r="BI57" s="712"/>
      <c r="BJ57" s="712"/>
      <c r="BK57" s="712"/>
      <c r="BL57" s="714"/>
      <c r="BM57" s="712"/>
      <c r="BN57" s="712"/>
      <c r="BO57" s="712"/>
      <c r="BP57" s="714"/>
      <c r="BQ57" s="714"/>
      <c r="BR57" s="712"/>
      <c r="BS57" s="712"/>
      <c r="BT57" s="712"/>
      <c r="BU57" s="714"/>
      <c r="BV57" s="714"/>
      <c r="BW57" s="712"/>
      <c r="BX57" s="712"/>
      <c r="BY57" s="714"/>
      <c r="BZ57" s="714"/>
      <c r="CA57" s="712"/>
      <c r="CB57" s="297">
        <v>1182900</v>
      </c>
      <c r="CC57" s="297">
        <v>1183</v>
      </c>
      <c r="CD57" s="712"/>
    </row>
    <row r="58" spans="1:82" ht="22.5" x14ac:dyDescent="0.2">
      <c r="A58" s="703"/>
      <c r="B58" s="292" t="s">
        <v>1384</v>
      </c>
      <c r="C58" s="293" t="s">
        <v>669</v>
      </c>
      <c r="D58" s="314"/>
      <c r="E58" s="703"/>
      <c r="F58" s="315" t="s">
        <v>670</v>
      </c>
      <c r="G58" s="296"/>
      <c r="H58" s="296"/>
      <c r="I58" s="296"/>
      <c r="J58" s="296">
        <f t="shared" si="17"/>
        <v>1109</v>
      </c>
      <c r="K58" s="296">
        <f t="shared" si="17"/>
        <v>0</v>
      </c>
      <c r="L58" s="296">
        <f t="shared" si="17"/>
        <v>1109</v>
      </c>
      <c r="M58" s="499">
        <v>1109</v>
      </c>
      <c r="N58" s="499">
        <v>0</v>
      </c>
      <c r="O58" s="499">
        <f t="shared" si="22"/>
        <v>1109</v>
      </c>
      <c r="P58" s="499">
        <f t="shared" si="19"/>
        <v>0</v>
      </c>
      <c r="Q58" s="499">
        <f t="shared" si="19"/>
        <v>0</v>
      </c>
      <c r="R58" s="499">
        <f t="shared" si="19"/>
        <v>0</v>
      </c>
      <c r="S58" s="499">
        <v>1109</v>
      </c>
      <c r="T58" s="499">
        <v>0</v>
      </c>
      <c r="U58" s="499">
        <f t="shared" si="23"/>
        <v>1109</v>
      </c>
      <c r="V58" s="499"/>
      <c r="W58" s="499"/>
      <c r="X58" s="499"/>
      <c r="Y58" s="499">
        <v>1109</v>
      </c>
      <c r="Z58" s="499">
        <v>0</v>
      </c>
      <c r="AA58" s="499">
        <v>1109</v>
      </c>
      <c r="AB58" s="499">
        <f t="shared" si="21"/>
        <v>0</v>
      </c>
      <c r="AC58" s="499">
        <f t="shared" si="21"/>
        <v>0</v>
      </c>
      <c r="AD58" s="499">
        <f t="shared" si="21"/>
        <v>0</v>
      </c>
      <c r="AE58" s="499">
        <v>1109</v>
      </c>
      <c r="AF58" s="499">
        <v>0</v>
      </c>
      <c r="AG58" s="499">
        <v>1109</v>
      </c>
      <c r="AH58" s="299"/>
      <c r="AI58" s="296"/>
      <c r="AJ58" s="499"/>
      <c r="AK58" s="298"/>
      <c r="AL58" s="298"/>
      <c r="AM58" s="298"/>
      <c r="AN58" s="298"/>
      <c r="AO58" s="298"/>
      <c r="AP58" s="298"/>
      <c r="AQ58" s="298"/>
      <c r="AR58" s="298"/>
      <c r="AS58" s="298"/>
      <c r="AT58" s="298"/>
      <c r="AU58" s="298"/>
      <c r="AV58" s="298"/>
      <c r="AW58" s="298"/>
      <c r="AX58" s="298"/>
      <c r="AY58" s="298"/>
      <c r="AZ58" s="298"/>
      <c r="BA58" s="298"/>
      <c r="BB58" s="298"/>
      <c r="BC58" s="499"/>
      <c r="BD58" s="499"/>
      <c r="BE58" s="499"/>
      <c r="BF58" s="298"/>
      <c r="BG58" s="298"/>
      <c r="BH58" s="298"/>
      <c r="BI58" s="712"/>
      <c r="BJ58" s="712"/>
      <c r="BK58" s="712"/>
      <c r="BL58" s="714"/>
      <c r="BM58" s="712"/>
      <c r="BN58" s="712"/>
      <c r="BO58" s="712"/>
      <c r="BP58" s="714"/>
      <c r="BQ58" s="714"/>
      <c r="BR58" s="712"/>
      <c r="BS58" s="712"/>
      <c r="BT58" s="712"/>
      <c r="BU58" s="714"/>
      <c r="BV58" s="714"/>
      <c r="BW58" s="712"/>
      <c r="BX58" s="712"/>
      <c r="BY58" s="714"/>
      <c r="BZ58" s="714"/>
      <c r="CA58" s="712"/>
      <c r="CB58" s="297">
        <v>1108500</v>
      </c>
      <c r="CC58" s="297">
        <v>1109</v>
      </c>
      <c r="CD58" s="712"/>
    </row>
    <row r="59" spans="1:82" ht="22.5" x14ac:dyDescent="0.2">
      <c r="A59" s="703"/>
      <c r="B59" s="292" t="s">
        <v>1384</v>
      </c>
      <c r="C59" s="293" t="s">
        <v>671</v>
      </c>
      <c r="D59" s="314"/>
      <c r="E59" s="703"/>
      <c r="F59" s="315" t="s">
        <v>672</v>
      </c>
      <c r="G59" s="296"/>
      <c r="H59" s="296"/>
      <c r="I59" s="296"/>
      <c r="J59" s="296">
        <f t="shared" si="17"/>
        <v>1108</v>
      </c>
      <c r="K59" s="296">
        <f t="shared" si="17"/>
        <v>0</v>
      </c>
      <c r="L59" s="296">
        <f t="shared" si="17"/>
        <v>1108</v>
      </c>
      <c r="M59" s="499">
        <v>1108</v>
      </c>
      <c r="N59" s="499">
        <v>0</v>
      </c>
      <c r="O59" s="499">
        <f t="shared" si="22"/>
        <v>1108</v>
      </c>
      <c r="P59" s="499">
        <f t="shared" si="19"/>
        <v>0</v>
      </c>
      <c r="Q59" s="499">
        <f t="shared" si="19"/>
        <v>0</v>
      </c>
      <c r="R59" s="499">
        <f t="shared" si="19"/>
        <v>0</v>
      </c>
      <c r="S59" s="499">
        <v>1108</v>
      </c>
      <c r="T59" s="499">
        <v>0</v>
      </c>
      <c r="U59" s="499">
        <f t="shared" si="23"/>
        <v>1108</v>
      </c>
      <c r="V59" s="499"/>
      <c r="W59" s="499"/>
      <c r="X59" s="499"/>
      <c r="Y59" s="499">
        <v>1108</v>
      </c>
      <c r="Z59" s="499">
        <v>0</v>
      </c>
      <c r="AA59" s="499">
        <v>1108</v>
      </c>
      <c r="AB59" s="499">
        <f t="shared" si="21"/>
        <v>0</v>
      </c>
      <c r="AC59" s="499">
        <f t="shared" si="21"/>
        <v>0</v>
      </c>
      <c r="AD59" s="499">
        <f t="shared" si="21"/>
        <v>0</v>
      </c>
      <c r="AE59" s="499">
        <v>1108</v>
      </c>
      <c r="AF59" s="499">
        <v>0</v>
      </c>
      <c r="AG59" s="499">
        <v>1108</v>
      </c>
      <c r="AH59" s="299"/>
      <c r="AI59" s="296"/>
      <c r="AJ59" s="499"/>
      <c r="AK59" s="298"/>
      <c r="AL59" s="298"/>
      <c r="AM59" s="298"/>
      <c r="AN59" s="298"/>
      <c r="AO59" s="298"/>
      <c r="AP59" s="298"/>
      <c r="AQ59" s="298"/>
      <c r="AR59" s="298"/>
      <c r="AS59" s="298"/>
      <c r="AT59" s="298"/>
      <c r="AU59" s="298"/>
      <c r="AV59" s="298"/>
      <c r="AW59" s="298"/>
      <c r="AX59" s="298"/>
      <c r="AY59" s="298"/>
      <c r="AZ59" s="298"/>
      <c r="BA59" s="298"/>
      <c r="BB59" s="298"/>
      <c r="BC59" s="499"/>
      <c r="BD59" s="499"/>
      <c r="BE59" s="499"/>
      <c r="BF59" s="298"/>
      <c r="BG59" s="298"/>
      <c r="BH59" s="298"/>
      <c r="BI59" s="712"/>
      <c r="BJ59" s="712"/>
      <c r="BK59" s="712"/>
      <c r="BL59" s="714"/>
      <c r="BM59" s="712"/>
      <c r="BN59" s="712"/>
      <c r="BO59" s="712"/>
      <c r="BP59" s="714"/>
      <c r="BQ59" s="714"/>
      <c r="BR59" s="712"/>
      <c r="BS59" s="712"/>
      <c r="BT59" s="712"/>
      <c r="BU59" s="714"/>
      <c r="BV59" s="714"/>
      <c r="BW59" s="712"/>
      <c r="BX59" s="712"/>
      <c r="BY59" s="714"/>
      <c r="BZ59" s="714"/>
      <c r="CA59" s="712"/>
      <c r="CB59" s="297">
        <v>1108200</v>
      </c>
      <c r="CC59" s="297">
        <v>1108</v>
      </c>
      <c r="CD59" s="712"/>
    </row>
    <row r="60" spans="1:82" ht="33.75" x14ac:dyDescent="0.2">
      <c r="A60" s="703"/>
      <c r="B60" s="292" t="s">
        <v>1384</v>
      </c>
      <c r="C60" s="293" t="s">
        <v>673</v>
      </c>
      <c r="D60" s="314"/>
      <c r="E60" s="703"/>
      <c r="F60" s="315" t="s">
        <v>674</v>
      </c>
      <c r="G60" s="296"/>
      <c r="H60" s="296"/>
      <c r="I60" s="296"/>
      <c r="J60" s="296">
        <f t="shared" si="17"/>
        <v>351</v>
      </c>
      <c r="K60" s="296">
        <f t="shared" si="17"/>
        <v>0</v>
      </c>
      <c r="L60" s="296">
        <f t="shared" si="17"/>
        <v>351</v>
      </c>
      <c r="M60" s="499">
        <v>351</v>
      </c>
      <c r="N60" s="499">
        <v>0</v>
      </c>
      <c r="O60" s="499">
        <f t="shared" si="22"/>
        <v>351</v>
      </c>
      <c r="P60" s="499">
        <f t="shared" si="19"/>
        <v>0</v>
      </c>
      <c r="Q60" s="499">
        <f t="shared" si="19"/>
        <v>0</v>
      </c>
      <c r="R60" s="499">
        <f t="shared" si="19"/>
        <v>0</v>
      </c>
      <c r="S60" s="499">
        <v>351</v>
      </c>
      <c r="T60" s="499">
        <v>0</v>
      </c>
      <c r="U60" s="499">
        <f t="shared" si="23"/>
        <v>351</v>
      </c>
      <c r="V60" s="499"/>
      <c r="W60" s="499"/>
      <c r="X60" s="499"/>
      <c r="Y60" s="499">
        <v>351</v>
      </c>
      <c r="Z60" s="499">
        <v>0</v>
      </c>
      <c r="AA60" s="499">
        <v>351</v>
      </c>
      <c r="AB60" s="499">
        <f t="shared" si="21"/>
        <v>0</v>
      </c>
      <c r="AC60" s="499">
        <f t="shared" si="21"/>
        <v>0</v>
      </c>
      <c r="AD60" s="499">
        <f t="shared" si="21"/>
        <v>0</v>
      </c>
      <c r="AE60" s="499">
        <v>351</v>
      </c>
      <c r="AF60" s="499">
        <v>0</v>
      </c>
      <c r="AG60" s="499">
        <v>351</v>
      </c>
      <c r="AH60" s="299"/>
      <c r="AI60" s="296"/>
      <c r="AJ60" s="499"/>
      <c r="AK60" s="298"/>
      <c r="AL60" s="298"/>
      <c r="AM60" s="298"/>
      <c r="AN60" s="298"/>
      <c r="AO60" s="298"/>
      <c r="AP60" s="298"/>
      <c r="AQ60" s="298"/>
      <c r="AR60" s="298"/>
      <c r="AS60" s="298"/>
      <c r="AT60" s="298"/>
      <c r="AU60" s="298"/>
      <c r="AV60" s="298"/>
      <c r="AW60" s="298"/>
      <c r="AX60" s="298"/>
      <c r="AY60" s="298"/>
      <c r="AZ60" s="298"/>
      <c r="BA60" s="298"/>
      <c r="BB60" s="298"/>
      <c r="BC60" s="499"/>
      <c r="BD60" s="499"/>
      <c r="BE60" s="499"/>
      <c r="BF60" s="298"/>
      <c r="BG60" s="298"/>
      <c r="BH60" s="298"/>
      <c r="BI60" s="712"/>
      <c r="BJ60" s="712"/>
      <c r="BK60" s="712"/>
      <c r="BL60" s="714"/>
      <c r="BM60" s="712"/>
      <c r="BN60" s="712"/>
      <c r="BO60" s="712"/>
      <c r="BP60" s="714"/>
      <c r="BQ60" s="714"/>
      <c r="BR60" s="712"/>
      <c r="BS60" s="712"/>
      <c r="BT60" s="712"/>
      <c r="BU60" s="714"/>
      <c r="BV60" s="714"/>
      <c r="BW60" s="712"/>
      <c r="BX60" s="712"/>
      <c r="BY60" s="714"/>
      <c r="BZ60" s="714"/>
      <c r="CA60" s="712"/>
      <c r="CB60" s="297">
        <v>351000</v>
      </c>
      <c r="CC60" s="297">
        <v>351</v>
      </c>
      <c r="CD60" s="712"/>
    </row>
    <row r="61" spans="1:82" ht="22.5" x14ac:dyDescent="0.2">
      <c r="A61" s="703"/>
      <c r="B61" s="292" t="s">
        <v>1384</v>
      </c>
      <c r="C61" s="293" t="s">
        <v>675</v>
      </c>
      <c r="D61" s="314"/>
      <c r="E61" s="703"/>
      <c r="F61" s="315" t="s">
        <v>676</v>
      </c>
      <c r="G61" s="296"/>
      <c r="H61" s="296"/>
      <c r="I61" s="296"/>
      <c r="J61" s="296">
        <f t="shared" si="17"/>
        <v>1109</v>
      </c>
      <c r="K61" s="296">
        <f t="shared" si="17"/>
        <v>0</v>
      </c>
      <c r="L61" s="296">
        <f t="shared" si="17"/>
        <v>1109</v>
      </c>
      <c r="M61" s="499">
        <v>1109</v>
      </c>
      <c r="N61" s="499">
        <v>0</v>
      </c>
      <c r="O61" s="499">
        <f t="shared" si="22"/>
        <v>1109</v>
      </c>
      <c r="P61" s="499">
        <f t="shared" si="19"/>
        <v>0</v>
      </c>
      <c r="Q61" s="499">
        <f t="shared" si="19"/>
        <v>0</v>
      </c>
      <c r="R61" s="499">
        <f t="shared" si="19"/>
        <v>0</v>
      </c>
      <c r="S61" s="499">
        <v>1109</v>
      </c>
      <c r="T61" s="499">
        <v>0</v>
      </c>
      <c r="U61" s="499">
        <f t="shared" si="23"/>
        <v>1109</v>
      </c>
      <c r="V61" s="499"/>
      <c r="W61" s="499"/>
      <c r="X61" s="499"/>
      <c r="Y61" s="499">
        <v>1109</v>
      </c>
      <c r="Z61" s="499">
        <v>0</v>
      </c>
      <c r="AA61" s="499">
        <v>1109</v>
      </c>
      <c r="AB61" s="499">
        <f t="shared" si="21"/>
        <v>0</v>
      </c>
      <c r="AC61" s="499">
        <f t="shared" si="21"/>
        <v>0</v>
      </c>
      <c r="AD61" s="499">
        <f t="shared" si="21"/>
        <v>0</v>
      </c>
      <c r="AE61" s="499">
        <v>1109</v>
      </c>
      <c r="AF61" s="499">
        <v>0</v>
      </c>
      <c r="AG61" s="499">
        <v>1109</v>
      </c>
      <c r="AH61" s="299"/>
      <c r="AI61" s="296"/>
      <c r="AJ61" s="499"/>
      <c r="AK61" s="298"/>
      <c r="AL61" s="298"/>
      <c r="AM61" s="298"/>
      <c r="AN61" s="298"/>
      <c r="AO61" s="298"/>
      <c r="AP61" s="298"/>
      <c r="AQ61" s="298"/>
      <c r="AR61" s="298"/>
      <c r="AS61" s="298"/>
      <c r="AT61" s="298"/>
      <c r="AU61" s="298"/>
      <c r="AV61" s="298"/>
      <c r="AW61" s="298"/>
      <c r="AX61" s="298"/>
      <c r="AY61" s="298"/>
      <c r="AZ61" s="298"/>
      <c r="BA61" s="298"/>
      <c r="BB61" s="298"/>
      <c r="BC61" s="499"/>
      <c r="BD61" s="499"/>
      <c r="BE61" s="499"/>
      <c r="BF61" s="298"/>
      <c r="BG61" s="298"/>
      <c r="BH61" s="298"/>
      <c r="BI61" s="712"/>
      <c r="BJ61" s="712"/>
      <c r="BK61" s="712"/>
      <c r="BL61" s="714"/>
      <c r="BM61" s="712"/>
      <c r="BN61" s="712"/>
      <c r="BO61" s="712"/>
      <c r="BP61" s="714"/>
      <c r="BQ61" s="714"/>
      <c r="BR61" s="712"/>
      <c r="BS61" s="712"/>
      <c r="BT61" s="712"/>
      <c r="BU61" s="714"/>
      <c r="BV61" s="714"/>
      <c r="BW61" s="712"/>
      <c r="BX61" s="712"/>
      <c r="BY61" s="714"/>
      <c r="BZ61" s="714"/>
      <c r="CA61" s="712"/>
      <c r="CB61" s="297">
        <v>1108800</v>
      </c>
      <c r="CC61" s="297">
        <v>1109</v>
      </c>
      <c r="CD61" s="712"/>
    </row>
    <row r="62" spans="1:82" x14ac:dyDescent="0.2">
      <c r="A62" s="703"/>
      <c r="B62" s="292" t="s">
        <v>1384</v>
      </c>
      <c r="C62" s="293" t="s">
        <v>677</v>
      </c>
      <c r="D62" s="314"/>
      <c r="E62" s="703"/>
      <c r="F62" s="315" t="s">
        <v>678</v>
      </c>
      <c r="G62" s="296"/>
      <c r="H62" s="296"/>
      <c r="I62" s="296"/>
      <c r="J62" s="296">
        <f t="shared" si="17"/>
        <v>231</v>
      </c>
      <c r="K62" s="296">
        <f t="shared" si="17"/>
        <v>0</v>
      </c>
      <c r="L62" s="296">
        <f t="shared" si="17"/>
        <v>231</v>
      </c>
      <c r="M62" s="499">
        <v>231</v>
      </c>
      <c r="N62" s="499">
        <v>0</v>
      </c>
      <c r="O62" s="499">
        <f t="shared" si="22"/>
        <v>231</v>
      </c>
      <c r="P62" s="499">
        <f t="shared" si="19"/>
        <v>0</v>
      </c>
      <c r="Q62" s="499">
        <f t="shared" si="19"/>
        <v>0</v>
      </c>
      <c r="R62" s="499">
        <f t="shared" si="19"/>
        <v>0</v>
      </c>
      <c r="S62" s="499">
        <v>231</v>
      </c>
      <c r="T62" s="499">
        <v>0</v>
      </c>
      <c r="U62" s="499">
        <f t="shared" si="23"/>
        <v>231</v>
      </c>
      <c r="V62" s="499"/>
      <c r="W62" s="499"/>
      <c r="X62" s="499"/>
      <c r="Y62" s="499">
        <v>231</v>
      </c>
      <c r="Z62" s="499">
        <v>0</v>
      </c>
      <c r="AA62" s="499">
        <v>231</v>
      </c>
      <c r="AB62" s="499">
        <f t="shared" si="21"/>
        <v>0</v>
      </c>
      <c r="AC62" s="499">
        <f t="shared" si="21"/>
        <v>0</v>
      </c>
      <c r="AD62" s="499">
        <f t="shared" si="21"/>
        <v>0</v>
      </c>
      <c r="AE62" s="499">
        <v>231</v>
      </c>
      <c r="AF62" s="499">
        <v>0</v>
      </c>
      <c r="AG62" s="499">
        <v>231</v>
      </c>
      <c r="AH62" s="299"/>
      <c r="AI62" s="296"/>
      <c r="AJ62" s="499"/>
      <c r="AK62" s="298"/>
      <c r="AL62" s="298"/>
      <c r="AM62" s="298"/>
      <c r="AN62" s="298"/>
      <c r="AO62" s="298"/>
      <c r="AP62" s="298"/>
      <c r="AQ62" s="298"/>
      <c r="AR62" s="298"/>
      <c r="AS62" s="298"/>
      <c r="AT62" s="298"/>
      <c r="AU62" s="298"/>
      <c r="AV62" s="298"/>
      <c r="AW62" s="298"/>
      <c r="AX62" s="298"/>
      <c r="AY62" s="298"/>
      <c r="AZ62" s="298"/>
      <c r="BA62" s="298"/>
      <c r="BB62" s="298"/>
      <c r="BC62" s="499"/>
      <c r="BD62" s="499"/>
      <c r="BE62" s="499"/>
      <c r="BF62" s="298"/>
      <c r="BG62" s="298"/>
      <c r="BH62" s="298"/>
      <c r="BI62" s="712"/>
      <c r="BJ62" s="712"/>
      <c r="BK62" s="712"/>
      <c r="BL62" s="714"/>
      <c r="BM62" s="712"/>
      <c r="BN62" s="712"/>
      <c r="BO62" s="712"/>
      <c r="BP62" s="714"/>
      <c r="BQ62" s="714"/>
      <c r="BR62" s="712"/>
      <c r="BS62" s="712"/>
      <c r="BT62" s="712"/>
      <c r="BU62" s="714"/>
      <c r="BV62" s="714"/>
      <c r="BW62" s="712"/>
      <c r="BX62" s="712"/>
      <c r="BY62" s="714"/>
      <c r="BZ62" s="714"/>
      <c r="CA62" s="712"/>
      <c r="CB62" s="297">
        <v>231000</v>
      </c>
      <c r="CC62" s="297">
        <v>231</v>
      </c>
      <c r="CD62" s="712"/>
    </row>
    <row r="63" spans="1:82" x14ac:dyDescent="0.2">
      <c r="A63" s="703"/>
      <c r="B63" s="292" t="s">
        <v>1384</v>
      </c>
      <c r="C63" s="293" t="s">
        <v>679</v>
      </c>
      <c r="D63" s="314"/>
      <c r="E63" s="703"/>
      <c r="F63" s="315" t="s">
        <v>680</v>
      </c>
      <c r="G63" s="296"/>
      <c r="H63" s="296"/>
      <c r="I63" s="296"/>
      <c r="J63" s="296">
        <f t="shared" ref="J63:L74" si="24">M63-G63</f>
        <v>116</v>
      </c>
      <c r="K63" s="296">
        <f t="shared" si="24"/>
        <v>0</v>
      </c>
      <c r="L63" s="296">
        <f t="shared" si="24"/>
        <v>116</v>
      </c>
      <c r="M63" s="499">
        <v>116</v>
      </c>
      <c r="N63" s="499">
        <v>0</v>
      </c>
      <c r="O63" s="499">
        <f t="shared" si="22"/>
        <v>116</v>
      </c>
      <c r="P63" s="499">
        <f t="shared" si="19"/>
        <v>0</v>
      </c>
      <c r="Q63" s="499">
        <f t="shared" si="19"/>
        <v>0</v>
      </c>
      <c r="R63" s="499">
        <f t="shared" si="19"/>
        <v>0</v>
      </c>
      <c r="S63" s="499">
        <v>116</v>
      </c>
      <c r="T63" s="499">
        <v>0</v>
      </c>
      <c r="U63" s="499">
        <f t="shared" si="23"/>
        <v>116</v>
      </c>
      <c r="V63" s="499"/>
      <c r="W63" s="499"/>
      <c r="X63" s="499"/>
      <c r="Y63" s="499">
        <v>116</v>
      </c>
      <c r="Z63" s="499">
        <v>0</v>
      </c>
      <c r="AA63" s="499">
        <v>116</v>
      </c>
      <c r="AB63" s="499">
        <f t="shared" si="21"/>
        <v>0</v>
      </c>
      <c r="AC63" s="499">
        <f t="shared" si="21"/>
        <v>0</v>
      </c>
      <c r="AD63" s="499">
        <f t="shared" si="21"/>
        <v>0</v>
      </c>
      <c r="AE63" s="499">
        <v>116</v>
      </c>
      <c r="AF63" s="499">
        <v>0</v>
      </c>
      <c r="AG63" s="499">
        <v>116</v>
      </c>
      <c r="AH63" s="299"/>
      <c r="AI63" s="296"/>
      <c r="AJ63" s="499"/>
      <c r="AK63" s="298"/>
      <c r="AL63" s="298"/>
      <c r="AM63" s="298"/>
      <c r="AN63" s="298"/>
      <c r="AO63" s="298"/>
      <c r="AP63" s="298"/>
      <c r="AQ63" s="298"/>
      <c r="AR63" s="298"/>
      <c r="AS63" s="298"/>
      <c r="AT63" s="298"/>
      <c r="AU63" s="298"/>
      <c r="AV63" s="298"/>
      <c r="AW63" s="298"/>
      <c r="AX63" s="298"/>
      <c r="AY63" s="298"/>
      <c r="AZ63" s="298"/>
      <c r="BA63" s="298"/>
      <c r="BB63" s="298"/>
      <c r="BC63" s="499"/>
      <c r="BD63" s="499"/>
      <c r="BE63" s="499"/>
      <c r="BF63" s="298"/>
      <c r="BG63" s="298"/>
      <c r="BH63" s="298"/>
      <c r="BI63" s="712"/>
      <c r="BJ63" s="712"/>
      <c r="BK63" s="712"/>
      <c r="BL63" s="714"/>
      <c r="BM63" s="712"/>
      <c r="BN63" s="712"/>
      <c r="BO63" s="712"/>
      <c r="BP63" s="714"/>
      <c r="BQ63" s="714"/>
      <c r="BR63" s="712"/>
      <c r="BS63" s="712"/>
      <c r="BT63" s="712"/>
      <c r="BU63" s="714"/>
      <c r="BV63" s="714"/>
      <c r="BW63" s="712"/>
      <c r="BX63" s="712"/>
      <c r="BY63" s="714"/>
      <c r="BZ63" s="714"/>
      <c r="CA63" s="712"/>
      <c r="CB63" s="297">
        <v>115800</v>
      </c>
      <c r="CC63" s="297">
        <v>116</v>
      </c>
      <c r="CD63" s="712"/>
    </row>
    <row r="64" spans="1:82" x14ac:dyDescent="0.2">
      <c r="A64" s="703"/>
      <c r="B64" s="292" t="s">
        <v>1384</v>
      </c>
      <c r="C64" s="293" t="s">
        <v>681</v>
      </c>
      <c r="D64" s="314"/>
      <c r="E64" s="703"/>
      <c r="F64" s="315" t="s">
        <v>682</v>
      </c>
      <c r="G64" s="296"/>
      <c r="H64" s="296"/>
      <c r="I64" s="296"/>
      <c r="J64" s="296">
        <f t="shared" si="24"/>
        <v>18</v>
      </c>
      <c r="K64" s="296">
        <f t="shared" si="24"/>
        <v>0</v>
      </c>
      <c r="L64" s="296">
        <f t="shared" si="24"/>
        <v>18</v>
      </c>
      <c r="M64" s="499">
        <v>18</v>
      </c>
      <c r="N64" s="499">
        <v>0</v>
      </c>
      <c r="O64" s="499">
        <f t="shared" si="22"/>
        <v>18</v>
      </c>
      <c r="P64" s="499">
        <f t="shared" si="19"/>
        <v>0</v>
      </c>
      <c r="Q64" s="499">
        <f t="shared" si="19"/>
        <v>0</v>
      </c>
      <c r="R64" s="499">
        <f t="shared" si="19"/>
        <v>0</v>
      </c>
      <c r="S64" s="499">
        <v>18</v>
      </c>
      <c r="T64" s="499">
        <v>0</v>
      </c>
      <c r="U64" s="499">
        <f t="shared" si="23"/>
        <v>18</v>
      </c>
      <c r="V64" s="499"/>
      <c r="W64" s="499"/>
      <c r="X64" s="499"/>
      <c r="Y64" s="499">
        <v>18</v>
      </c>
      <c r="Z64" s="499">
        <v>0</v>
      </c>
      <c r="AA64" s="499">
        <v>18</v>
      </c>
      <c r="AB64" s="499">
        <f t="shared" si="21"/>
        <v>0</v>
      </c>
      <c r="AC64" s="499">
        <f t="shared" si="21"/>
        <v>0</v>
      </c>
      <c r="AD64" s="499">
        <f t="shared" si="21"/>
        <v>0</v>
      </c>
      <c r="AE64" s="499">
        <v>18</v>
      </c>
      <c r="AF64" s="499">
        <v>0</v>
      </c>
      <c r="AG64" s="499">
        <v>18</v>
      </c>
      <c r="AH64" s="299"/>
      <c r="AI64" s="296"/>
      <c r="AJ64" s="499"/>
      <c r="AK64" s="298"/>
      <c r="AL64" s="298"/>
      <c r="AM64" s="298"/>
      <c r="AN64" s="298"/>
      <c r="AO64" s="298"/>
      <c r="AP64" s="298"/>
      <c r="AQ64" s="298"/>
      <c r="AR64" s="298"/>
      <c r="AS64" s="298"/>
      <c r="AT64" s="298"/>
      <c r="AU64" s="298"/>
      <c r="AV64" s="298"/>
      <c r="AW64" s="298"/>
      <c r="AX64" s="298"/>
      <c r="AY64" s="298"/>
      <c r="AZ64" s="298"/>
      <c r="BA64" s="298"/>
      <c r="BB64" s="298"/>
      <c r="BC64" s="499"/>
      <c r="BD64" s="499"/>
      <c r="BE64" s="499"/>
      <c r="BF64" s="298"/>
      <c r="BG64" s="298"/>
      <c r="BH64" s="298"/>
      <c r="BI64" s="712"/>
      <c r="BJ64" s="712"/>
      <c r="BK64" s="712"/>
      <c r="BL64" s="714"/>
      <c r="BM64" s="712"/>
      <c r="BN64" s="712"/>
      <c r="BO64" s="712"/>
      <c r="BP64" s="714"/>
      <c r="BQ64" s="714"/>
      <c r="BR64" s="712"/>
      <c r="BS64" s="712"/>
      <c r="BT64" s="712"/>
      <c r="BU64" s="714"/>
      <c r="BV64" s="714"/>
      <c r="BW64" s="712"/>
      <c r="BX64" s="712"/>
      <c r="BY64" s="714"/>
      <c r="BZ64" s="714"/>
      <c r="CA64" s="712"/>
      <c r="CB64" s="297">
        <v>17400</v>
      </c>
      <c r="CC64" s="297">
        <v>17</v>
      </c>
      <c r="CD64" s="712"/>
    </row>
    <row r="65" spans="1:82" x14ac:dyDescent="0.2">
      <c r="A65" s="703"/>
      <c r="B65" s="292" t="s">
        <v>1384</v>
      </c>
      <c r="C65" s="293" t="s">
        <v>683</v>
      </c>
      <c r="D65" s="314"/>
      <c r="E65" s="703"/>
      <c r="F65" s="315" t="s">
        <v>684</v>
      </c>
      <c r="G65" s="296"/>
      <c r="H65" s="296"/>
      <c r="I65" s="296"/>
      <c r="J65" s="296">
        <f t="shared" si="24"/>
        <v>26</v>
      </c>
      <c r="K65" s="296">
        <f t="shared" si="24"/>
        <v>0</v>
      </c>
      <c r="L65" s="296">
        <f t="shared" si="24"/>
        <v>26</v>
      </c>
      <c r="M65" s="499">
        <v>26</v>
      </c>
      <c r="N65" s="499">
        <v>0</v>
      </c>
      <c r="O65" s="499">
        <f t="shared" si="22"/>
        <v>26</v>
      </c>
      <c r="P65" s="499">
        <f t="shared" si="19"/>
        <v>0</v>
      </c>
      <c r="Q65" s="499">
        <f t="shared" si="19"/>
        <v>0</v>
      </c>
      <c r="R65" s="499">
        <f t="shared" si="19"/>
        <v>0</v>
      </c>
      <c r="S65" s="499">
        <v>26</v>
      </c>
      <c r="T65" s="499">
        <v>0</v>
      </c>
      <c r="U65" s="499">
        <f t="shared" si="23"/>
        <v>26</v>
      </c>
      <c r="V65" s="499"/>
      <c r="W65" s="499"/>
      <c r="X65" s="499"/>
      <c r="Y65" s="499">
        <v>26</v>
      </c>
      <c r="Z65" s="499">
        <v>0</v>
      </c>
      <c r="AA65" s="499">
        <v>26</v>
      </c>
      <c r="AB65" s="499">
        <f t="shared" si="21"/>
        <v>0</v>
      </c>
      <c r="AC65" s="499">
        <f t="shared" si="21"/>
        <v>0</v>
      </c>
      <c r="AD65" s="499">
        <f t="shared" si="21"/>
        <v>0</v>
      </c>
      <c r="AE65" s="499">
        <v>26</v>
      </c>
      <c r="AF65" s="499">
        <v>0</v>
      </c>
      <c r="AG65" s="499">
        <v>26</v>
      </c>
      <c r="AH65" s="299"/>
      <c r="AI65" s="296"/>
      <c r="AJ65" s="499"/>
      <c r="AK65" s="298"/>
      <c r="AL65" s="298"/>
      <c r="AM65" s="298"/>
      <c r="AN65" s="298"/>
      <c r="AO65" s="298"/>
      <c r="AP65" s="298"/>
      <c r="AQ65" s="298"/>
      <c r="AR65" s="298"/>
      <c r="AS65" s="298"/>
      <c r="AT65" s="298"/>
      <c r="AU65" s="298"/>
      <c r="AV65" s="298"/>
      <c r="AW65" s="298"/>
      <c r="AX65" s="298"/>
      <c r="AY65" s="298"/>
      <c r="AZ65" s="298"/>
      <c r="BA65" s="298"/>
      <c r="BB65" s="298"/>
      <c r="BC65" s="499"/>
      <c r="BD65" s="499"/>
      <c r="BE65" s="499"/>
      <c r="BF65" s="298"/>
      <c r="BG65" s="298"/>
      <c r="BH65" s="298"/>
      <c r="BI65" s="712"/>
      <c r="BJ65" s="712"/>
      <c r="BK65" s="712"/>
      <c r="BL65" s="714"/>
      <c r="BM65" s="712"/>
      <c r="BN65" s="712"/>
      <c r="BO65" s="712"/>
      <c r="BP65" s="714"/>
      <c r="BQ65" s="714"/>
      <c r="BR65" s="712"/>
      <c r="BS65" s="712"/>
      <c r="BT65" s="712"/>
      <c r="BU65" s="714"/>
      <c r="BV65" s="714"/>
      <c r="BW65" s="712"/>
      <c r="BX65" s="712"/>
      <c r="BY65" s="714"/>
      <c r="BZ65" s="714"/>
      <c r="CA65" s="712"/>
      <c r="CB65" s="297">
        <v>26100</v>
      </c>
      <c r="CC65" s="297">
        <v>26</v>
      </c>
      <c r="CD65" s="712"/>
    </row>
    <row r="66" spans="1:82" x14ac:dyDescent="0.2">
      <c r="A66" s="703"/>
      <c r="B66" s="292" t="s">
        <v>1384</v>
      </c>
      <c r="C66" s="293" t="s">
        <v>685</v>
      </c>
      <c r="D66" s="314"/>
      <c r="E66" s="703"/>
      <c r="F66" s="315" t="s">
        <v>686</v>
      </c>
      <c r="G66" s="296"/>
      <c r="H66" s="296"/>
      <c r="I66" s="296"/>
      <c r="J66" s="296">
        <f t="shared" si="24"/>
        <v>26</v>
      </c>
      <c r="K66" s="296">
        <f t="shared" si="24"/>
        <v>0</v>
      </c>
      <c r="L66" s="296">
        <f t="shared" si="24"/>
        <v>26</v>
      </c>
      <c r="M66" s="499">
        <v>26</v>
      </c>
      <c r="N66" s="499">
        <v>0</v>
      </c>
      <c r="O66" s="499">
        <f t="shared" si="22"/>
        <v>26</v>
      </c>
      <c r="P66" s="499">
        <f t="shared" si="19"/>
        <v>0</v>
      </c>
      <c r="Q66" s="499">
        <f t="shared" si="19"/>
        <v>0</v>
      </c>
      <c r="R66" s="499">
        <f t="shared" si="19"/>
        <v>0</v>
      </c>
      <c r="S66" s="499">
        <v>26</v>
      </c>
      <c r="T66" s="499">
        <v>0</v>
      </c>
      <c r="U66" s="499">
        <f t="shared" si="23"/>
        <v>26</v>
      </c>
      <c r="V66" s="499"/>
      <c r="W66" s="499"/>
      <c r="X66" s="499"/>
      <c r="Y66" s="499">
        <v>26</v>
      </c>
      <c r="Z66" s="499">
        <v>0</v>
      </c>
      <c r="AA66" s="499">
        <v>26</v>
      </c>
      <c r="AB66" s="499">
        <f t="shared" si="21"/>
        <v>0</v>
      </c>
      <c r="AC66" s="499">
        <f t="shared" si="21"/>
        <v>0</v>
      </c>
      <c r="AD66" s="499">
        <f t="shared" si="21"/>
        <v>0</v>
      </c>
      <c r="AE66" s="499">
        <v>26</v>
      </c>
      <c r="AF66" s="499">
        <v>0</v>
      </c>
      <c r="AG66" s="499">
        <v>26</v>
      </c>
      <c r="AH66" s="299"/>
      <c r="AI66" s="296"/>
      <c r="AJ66" s="499"/>
      <c r="AK66" s="298"/>
      <c r="AL66" s="298"/>
      <c r="AM66" s="298"/>
      <c r="AN66" s="298"/>
      <c r="AO66" s="298"/>
      <c r="AP66" s="298"/>
      <c r="AQ66" s="298"/>
      <c r="AR66" s="298"/>
      <c r="AS66" s="298"/>
      <c r="AT66" s="298"/>
      <c r="AU66" s="298"/>
      <c r="AV66" s="298"/>
      <c r="AW66" s="298"/>
      <c r="AX66" s="298"/>
      <c r="AY66" s="298"/>
      <c r="AZ66" s="298"/>
      <c r="BA66" s="298"/>
      <c r="BB66" s="298"/>
      <c r="BC66" s="499"/>
      <c r="BD66" s="499"/>
      <c r="BE66" s="499"/>
      <c r="BF66" s="298"/>
      <c r="BG66" s="298"/>
      <c r="BH66" s="298"/>
      <c r="BI66" s="712"/>
      <c r="BJ66" s="712"/>
      <c r="BK66" s="712"/>
      <c r="BL66" s="714"/>
      <c r="BM66" s="712"/>
      <c r="BN66" s="712"/>
      <c r="BO66" s="712"/>
      <c r="BP66" s="714"/>
      <c r="BQ66" s="714"/>
      <c r="BR66" s="712"/>
      <c r="BS66" s="712"/>
      <c r="BT66" s="712"/>
      <c r="BU66" s="714"/>
      <c r="BV66" s="714"/>
      <c r="BW66" s="712"/>
      <c r="BX66" s="712"/>
      <c r="BY66" s="714"/>
      <c r="BZ66" s="714"/>
      <c r="CA66" s="712"/>
      <c r="CB66" s="297">
        <v>26100</v>
      </c>
      <c r="CC66" s="297">
        <v>26</v>
      </c>
      <c r="CD66" s="712"/>
    </row>
    <row r="67" spans="1:82" ht="49.5" customHeight="1" x14ac:dyDescent="0.2">
      <c r="A67" s="703"/>
      <c r="B67" s="292" t="s">
        <v>1384</v>
      </c>
      <c r="C67" s="293" t="s">
        <v>687</v>
      </c>
      <c r="D67" s="314"/>
      <c r="E67" s="703"/>
      <c r="F67" s="315" t="s">
        <v>688</v>
      </c>
      <c r="G67" s="296"/>
      <c r="H67" s="296"/>
      <c r="I67" s="296"/>
      <c r="J67" s="296">
        <f t="shared" si="24"/>
        <v>5064</v>
      </c>
      <c r="K67" s="296">
        <f t="shared" si="24"/>
        <v>0</v>
      </c>
      <c r="L67" s="296">
        <f t="shared" si="24"/>
        <v>5064</v>
      </c>
      <c r="M67" s="499">
        <v>5064</v>
      </c>
      <c r="N67" s="499">
        <v>0</v>
      </c>
      <c r="O67" s="499">
        <f t="shared" si="22"/>
        <v>5064</v>
      </c>
      <c r="P67" s="499">
        <f t="shared" si="19"/>
        <v>0</v>
      </c>
      <c r="Q67" s="499">
        <f t="shared" si="19"/>
        <v>0</v>
      </c>
      <c r="R67" s="499">
        <f t="shared" si="19"/>
        <v>0</v>
      </c>
      <c r="S67" s="499">
        <v>5064</v>
      </c>
      <c r="T67" s="499">
        <v>0</v>
      </c>
      <c r="U67" s="499">
        <f t="shared" si="23"/>
        <v>5064</v>
      </c>
      <c r="V67" s="499"/>
      <c r="W67" s="499"/>
      <c r="X67" s="499"/>
      <c r="Y67" s="499">
        <v>5064</v>
      </c>
      <c r="Z67" s="499">
        <v>0</v>
      </c>
      <c r="AA67" s="499">
        <v>5064</v>
      </c>
      <c r="AB67" s="499">
        <f t="shared" si="21"/>
        <v>0</v>
      </c>
      <c r="AC67" s="499">
        <f t="shared" si="21"/>
        <v>0</v>
      </c>
      <c r="AD67" s="499">
        <f t="shared" si="21"/>
        <v>0</v>
      </c>
      <c r="AE67" s="499">
        <v>5064</v>
      </c>
      <c r="AF67" s="499">
        <v>0</v>
      </c>
      <c r="AG67" s="499">
        <v>5064</v>
      </c>
      <c r="AH67" s="299"/>
      <c r="AI67" s="296"/>
      <c r="AJ67" s="499"/>
      <c r="AK67" s="298"/>
      <c r="AL67" s="298"/>
      <c r="AM67" s="298"/>
      <c r="AN67" s="298"/>
      <c r="AO67" s="298"/>
      <c r="AP67" s="298"/>
      <c r="AQ67" s="298"/>
      <c r="AR67" s="298"/>
      <c r="AS67" s="298"/>
      <c r="AT67" s="298"/>
      <c r="AU67" s="298"/>
      <c r="AV67" s="298"/>
      <c r="AW67" s="298"/>
      <c r="AX67" s="298"/>
      <c r="AY67" s="298"/>
      <c r="AZ67" s="298"/>
      <c r="BA67" s="298"/>
      <c r="BB67" s="298"/>
      <c r="BC67" s="499"/>
      <c r="BD67" s="499"/>
      <c r="BE67" s="499"/>
      <c r="BF67" s="298"/>
      <c r="BG67" s="298"/>
      <c r="BH67" s="298"/>
      <c r="BI67" s="712"/>
      <c r="BJ67" s="712"/>
      <c r="BK67" s="712"/>
      <c r="BL67" s="714"/>
      <c r="BM67" s="712"/>
      <c r="BN67" s="712"/>
      <c r="BO67" s="712"/>
      <c r="BP67" s="714"/>
      <c r="BQ67" s="714"/>
      <c r="BR67" s="712"/>
      <c r="BS67" s="712"/>
      <c r="BT67" s="712"/>
      <c r="BU67" s="714"/>
      <c r="BV67" s="714"/>
      <c r="BW67" s="712"/>
      <c r="BX67" s="712"/>
      <c r="BY67" s="714"/>
      <c r="BZ67" s="714"/>
      <c r="CA67" s="712"/>
      <c r="CB67" s="297">
        <v>5064000</v>
      </c>
      <c r="CC67" s="297">
        <v>5064</v>
      </c>
      <c r="CD67" s="712"/>
    </row>
    <row r="68" spans="1:82" ht="22.5" x14ac:dyDescent="0.2">
      <c r="A68" s="703"/>
      <c r="B68" s="292" t="s">
        <v>1384</v>
      </c>
      <c r="C68" s="293" t="s">
        <v>689</v>
      </c>
      <c r="D68" s="316"/>
      <c r="E68" s="703"/>
      <c r="F68" s="315" t="s">
        <v>690</v>
      </c>
      <c r="G68" s="296"/>
      <c r="H68" s="296"/>
      <c r="I68" s="296"/>
      <c r="J68" s="296">
        <f t="shared" si="24"/>
        <v>682</v>
      </c>
      <c r="K68" s="296">
        <f t="shared" si="24"/>
        <v>184</v>
      </c>
      <c r="L68" s="296">
        <f t="shared" si="24"/>
        <v>866</v>
      </c>
      <c r="M68" s="499">
        <v>682</v>
      </c>
      <c r="N68" s="499">
        <v>184</v>
      </c>
      <c r="O68" s="499">
        <f t="shared" si="22"/>
        <v>866</v>
      </c>
      <c r="P68" s="499">
        <f t="shared" si="19"/>
        <v>0</v>
      </c>
      <c r="Q68" s="499">
        <f t="shared" si="19"/>
        <v>0</v>
      </c>
      <c r="R68" s="499">
        <f t="shared" si="19"/>
        <v>0</v>
      </c>
      <c r="S68" s="499">
        <v>682</v>
      </c>
      <c r="T68" s="499">
        <v>184</v>
      </c>
      <c r="U68" s="499">
        <f t="shared" si="23"/>
        <v>866</v>
      </c>
      <c r="V68" s="499"/>
      <c r="W68" s="499"/>
      <c r="X68" s="499"/>
      <c r="Y68" s="499">
        <v>682</v>
      </c>
      <c r="Z68" s="499">
        <v>184</v>
      </c>
      <c r="AA68" s="499">
        <v>866</v>
      </c>
      <c r="AB68" s="499">
        <f t="shared" si="21"/>
        <v>-682</v>
      </c>
      <c r="AC68" s="499">
        <f t="shared" si="21"/>
        <v>-184</v>
      </c>
      <c r="AD68" s="499">
        <f t="shared" si="21"/>
        <v>-866</v>
      </c>
      <c r="AE68" s="499">
        <v>0</v>
      </c>
      <c r="AF68" s="499">
        <v>0</v>
      </c>
      <c r="AG68" s="499">
        <v>0</v>
      </c>
      <c r="AH68" s="299"/>
      <c r="AI68" s="296"/>
      <c r="AJ68" s="499"/>
      <c r="AK68" s="298"/>
      <c r="AL68" s="298"/>
      <c r="AM68" s="298"/>
      <c r="AN68" s="298"/>
      <c r="AO68" s="298"/>
      <c r="AP68" s="298"/>
      <c r="AQ68" s="298"/>
      <c r="AR68" s="298"/>
      <c r="AS68" s="298"/>
      <c r="AT68" s="298"/>
      <c r="AU68" s="298"/>
      <c r="AV68" s="298"/>
      <c r="AW68" s="298"/>
      <c r="AX68" s="298"/>
      <c r="AY68" s="298"/>
      <c r="AZ68" s="298"/>
      <c r="BA68" s="298"/>
      <c r="BB68" s="298"/>
      <c r="BC68" s="499"/>
      <c r="BD68" s="499"/>
      <c r="BE68" s="499"/>
      <c r="BF68" s="298"/>
      <c r="BG68" s="298"/>
      <c r="BH68" s="298"/>
      <c r="BI68" s="712"/>
      <c r="BJ68" s="712"/>
      <c r="BK68" s="712"/>
      <c r="BL68" s="714"/>
      <c r="BM68" s="712"/>
      <c r="BN68" s="712"/>
      <c r="BO68" s="712"/>
      <c r="BP68" s="714"/>
      <c r="BQ68" s="714"/>
      <c r="BR68" s="712"/>
      <c r="BS68" s="712"/>
      <c r="BT68" s="712"/>
      <c r="BU68" s="714"/>
      <c r="BV68" s="714"/>
      <c r="BW68" s="712"/>
      <c r="BX68" s="712"/>
      <c r="BY68" s="714"/>
      <c r="BZ68" s="714"/>
      <c r="CA68" s="712"/>
      <c r="CB68" s="297"/>
      <c r="CC68" s="297">
        <v>0</v>
      </c>
      <c r="CD68" s="712"/>
    </row>
    <row r="69" spans="1:82" ht="22.5" x14ac:dyDescent="0.2">
      <c r="A69" s="703"/>
      <c r="B69" s="292" t="s">
        <v>1384</v>
      </c>
      <c r="C69" s="293" t="s">
        <v>691</v>
      </c>
      <c r="D69" s="314"/>
      <c r="E69" s="703"/>
      <c r="F69" s="317" t="s">
        <v>692</v>
      </c>
      <c r="G69" s="296"/>
      <c r="H69" s="296"/>
      <c r="I69" s="296"/>
      <c r="J69" s="296">
        <f t="shared" si="24"/>
        <v>764</v>
      </c>
      <c r="K69" s="296">
        <f t="shared" si="24"/>
        <v>0</v>
      </c>
      <c r="L69" s="296">
        <f t="shared" si="24"/>
        <v>764</v>
      </c>
      <c r="M69" s="499">
        <v>764</v>
      </c>
      <c r="N69" s="499">
        <v>0</v>
      </c>
      <c r="O69" s="499">
        <f t="shared" si="22"/>
        <v>764</v>
      </c>
      <c r="P69" s="499">
        <f t="shared" si="19"/>
        <v>0</v>
      </c>
      <c r="Q69" s="499">
        <f t="shared" si="19"/>
        <v>0</v>
      </c>
      <c r="R69" s="499">
        <f t="shared" si="19"/>
        <v>0</v>
      </c>
      <c r="S69" s="499">
        <v>764</v>
      </c>
      <c r="T69" s="499">
        <v>0</v>
      </c>
      <c r="U69" s="499">
        <f t="shared" si="23"/>
        <v>764</v>
      </c>
      <c r="V69" s="499"/>
      <c r="W69" s="499"/>
      <c r="X69" s="499"/>
      <c r="Y69" s="499">
        <v>764</v>
      </c>
      <c r="Z69" s="499">
        <v>0</v>
      </c>
      <c r="AA69" s="499">
        <v>764</v>
      </c>
      <c r="AB69" s="499">
        <f t="shared" si="21"/>
        <v>0</v>
      </c>
      <c r="AC69" s="499">
        <f t="shared" si="21"/>
        <v>0</v>
      </c>
      <c r="AD69" s="499">
        <f t="shared" si="21"/>
        <v>0</v>
      </c>
      <c r="AE69" s="499">
        <v>764</v>
      </c>
      <c r="AF69" s="499">
        <v>0</v>
      </c>
      <c r="AG69" s="499">
        <v>764</v>
      </c>
      <c r="AH69" s="299"/>
      <c r="AI69" s="296"/>
      <c r="AJ69" s="499"/>
      <c r="AK69" s="298"/>
      <c r="AL69" s="298"/>
      <c r="AM69" s="298"/>
      <c r="AN69" s="298"/>
      <c r="AO69" s="298"/>
      <c r="AP69" s="298"/>
      <c r="AQ69" s="298"/>
      <c r="AR69" s="298"/>
      <c r="AS69" s="298"/>
      <c r="AT69" s="298"/>
      <c r="AU69" s="298"/>
      <c r="AV69" s="298"/>
      <c r="AW69" s="298"/>
      <c r="AX69" s="298"/>
      <c r="AY69" s="298"/>
      <c r="AZ69" s="298"/>
      <c r="BA69" s="298"/>
      <c r="BB69" s="298"/>
      <c r="BC69" s="499"/>
      <c r="BD69" s="499"/>
      <c r="BE69" s="499"/>
      <c r="BF69" s="298"/>
      <c r="BG69" s="298"/>
      <c r="BH69" s="298"/>
      <c r="BI69" s="712"/>
      <c r="BJ69" s="712"/>
      <c r="BK69" s="712"/>
      <c r="BL69" s="714"/>
      <c r="BM69" s="712"/>
      <c r="BN69" s="712"/>
      <c r="BO69" s="712"/>
      <c r="BP69" s="714"/>
      <c r="BQ69" s="714"/>
      <c r="BR69" s="712"/>
      <c r="BS69" s="712"/>
      <c r="BT69" s="712"/>
      <c r="BU69" s="714"/>
      <c r="BV69" s="714"/>
      <c r="BW69" s="712"/>
      <c r="BX69" s="712"/>
      <c r="BY69" s="714"/>
      <c r="BZ69" s="714"/>
      <c r="CA69" s="712"/>
      <c r="CB69" s="297">
        <v>764400</v>
      </c>
      <c r="CC69" s="297">
        <v>764</v>
      </c>
      <c r="CD69" s="712"/>
    </row>
    <row r="70" spans="1:82" ht="22.5" x14ac:dyDescent="0.2">
      <c r="A70" s="703"/>
      <c r="B70" s="292" t="s">
        <v>1384</v>
      </c>
      <c r="C70" s="293" t="s">
        <v>693</v>
      </c>
      <c r="D70" s="314"/>
      <c r="E70" s="703"/>
      <c r="F70" s="317" t="s">
        <v>694</v>
      </c>
      <c r="G70" s="296"/>
      <c r="H70" s="296"/>
      <c r="I70" s="296"/>
      <c r="J70" s="296">
        <f t="shared" si="24"/>
        <v>765</v>
      </c>
      <c r="K70" s="296">
        <f t="shared" si="24"/>
        <v>0</v>
      </c>
      <c r="L70" s="296">
        <f t="shared" si="24"/>
        <v>765</v>
      </c>
      <c r="M70" s="499">
        <v>765</v>
      </c>
      <c r="N70" s="499">
        <v>0</v>
      </c>
      <c r="O70" s="499">
        <f t="shared" si="22"/>
        <v>765</v>
      </c>
      <c r="P70" s="499">
        <f t="shared" si="19"/>
        <v>0</v>
      </c>
      <c r="Q70" s="499">
        <f t="shared" si="19"/>
        <v>0</v>
      </c>
      <c r="R70" s="499">
        <f t="shared" si="19"/>
        <v>0</v>
      </c>
      <c r="S70" s="499">
        <v>765</v>
      </c>
      <c r="T70" s="499">
        <v>0</v>
      </c>
      <c r="U70" s="499">
        <f t="shared" si="23"/>
        <v>765</v>
      </c>
      <c r="V70" s="499"/>
      <c r="W70" s="499"/>
      <c r="X70" s="499"/>
      <c r="Y70" s="499">
        <v>765</v>
      </c>
      <c r="Z70" s="499">
        <v>0</v>
      </c>
      <c r="AA70" s="499">
        <v>765</v>
      </c>
      <c r="AB70" s="499">
        <f t="shared" si="21"/>
        <v>0</v>
      </c>
      <c r="AC70" s="499">
        <f t="shared" si="21"/>
        <v>0</v>
      </c>
      <c r="AD70" s="499">
        <f t="shared" si="21"/>
        <v>0</v>
      </c>
      <c r="AE70" s="499">
        <v>765</v>
      </c>
      <c r="AF70" s="499">
        <v>0</v>
      </c>
      <c r="AG70" s="499">
        <v>765</v>
      </c>
      <c r="AH70" s="299"/>
      <c r="AI70" s="296"/>
      <c r="AJ70" s="499"/>
      <c r="AK70" s="298"/>
      <c r="AL70" s="298"/>
      <c r="AM70" s="298"/>
      <c r="AN70" s="298"/>
      <c r="AO70" s="298"/>
      <c r="AP70" s="298"/>
      <c r="AQ70" s="298"/>
      <c r="AR70" s="298"/>
      <c r="AS70" s="298"/>
      <c r="AT70" s="298"/>
      <c r="AU70" s="298"/>
      <c r="AV70" s="298"/>
      <c r="AW70" s="298"/>
      <c r="AX70" s="298"/>
      <c r="AY70" s="298"/>
      <c r="AZ70" s="298"/>
      <c r="BA70" s="298"/>
      <c r="BB70" s="298"/>
      <c r="BC70" s="499"/>
      <c r="BD70" s="499"/>
      <c r="BE70" s="499"/>
      <c r="BF70" s="298"/>
      <c r="BG70" s="298"/>
      <c r="BH70" s="298"/>
      <c r="BI70" s="712"/>
      <c r="BJ70" s="712"/>
      <c r="BK70" s="712"/>
      <c r="BL70" s="714"/>
      <c r="BM70" s="712"/>
      <c r="BN70" s="712"/>
      <c r="BO70" s="712"/>
      <c r="BP70" s="714"/>
      <c r="BQ70" s="714"/>
      <c r="BR70" s="712"/>
      <c r="BS70" s="712"/>
      <c r="BT70" s="712"/>
      <c r="BU70" s="714"/>
      <c r="BV70" s="714"/>
      <c r="BW70" s="712"/>
      <c r="BX70" s="712"/>
      <c r="BY70" s="714"/>
      <c r="BZ70" s="714"/>
      <c r="CA70" s="712"/>
      <c r="CB70" s="297">
        <v>764000</v>
      </c>
      <c r="CC70" s="297">
        <v>764</v>
      </c>
      <c r="CD70" s="712"/>
    </row>
    <row r="71" spans="1:82" ht="22.5" x14ac:dyDescent="0.2">
      <c r="A71" s="703"/>
      <c r="B71" s="292" t="s">
        <v>1384</v>
      </c>
      <c r="C71" s="293" t="s">
        <v>695</v>
      </c>
      <c r="D71" s="314"/>
      <c r="E71" s="703"/>
      <c r="F71" s="317" t="s">
        <v>696</v>
      </c>
      <c r="G71" s="296"/>
      <c r="H71" s="296"/>
      <c r="I71" s="296"/>
      <c r="J71" s="296">
        <f t="shared" si="24"/>
        <v>69</v>
      </c>
      <c r="K71" s="296">
        <f t="shared" si="24"/>
        <v>0</v>
      </c>
      <c r="L71" s="296">
        <f t="shared" si="24"/>
        <v>69</v>
      </c>
      <c r="M71" s="499">
        <v>69</v>
      </c>
      <c r="N71" s="499">
        <v>0</v>
      </c>
      <c r="O71" s="499">
        <f t="shared" si="22"/>
        <v>69</v>
      </c>
      <c r="P71" s="499">
        <f t="shared" si="19"/>
        <v>0</v>
      </c>
      <c r="Q71" s="499">
        <f t="shared" si="19"/>
        <v>0</v>
      </c>
      <c r="R71" s="499">
        <f t="shared" si="19"/>
        <v>0</v>
      </c>
      <c r="S71" s="499">
        <v>69</v>
      </c>
      <c r="T71" s="499">
        <v>0</v>
      </c>
      <c r="U71" s="499">
        <f t="shared" si="23"/>
        <v>69</v>
      </c>
      <c r="V71" s="499"/>
      <c r="W71" s="499"/>
      <c r="X71" s="499"/>
      <c r="Y71" s="499">
        <v>69</v>
      </c>
      <c r="Z71" s="499">
        <v>0</v>
      </c>
      <c r="AA71" s="499">
        <v>69</v>
      </c>
      <c r="AB71" s="499">
        <f t="shared" si="21"/>
        <v>0</v>
      </c>
      <c r="AC71" s="499">
        <f t="shared" si="21"/>
        <v>0</v>
      </c>
      <c r="AD71" s="499">
        <f t="shared" si="21"/>
        <v>0</v>
      </c>
      <c r="AE71" s="499">
        <v>69</v>
      </c>
      <c r="AF71" s="499">
        <v>0</v>
      </c>
      <c r="AG71" s="499">
        <v>69</v>
      </c>
      <c r="AH71" s="299"/>
      <c r="AI71" s="296"/>
      <c r="AJ71" s="499"/>
      <c r="AK71" s="298"/>
      <c r="AL71" s="298"/>
      <c r="AM71" s="298"/>
      <c r="AN71" s="298"/>
      <c r="AO71" s="298"/>
      <c r="AP71" s="298"/>
      <c r="AQ71" s="298"/>
      <c r="AR71" s="298"/>
      <c r="AS71" s="298"/>
      <c r="AT71" s="298"/>
      <c r="AU71" s="298"/>
      <c r="AV71" s="298"/>
      <c r="AW71" s="298"/>
      <c r="AX71" s="298"/>
      <c r="AY71" s="298"/>
      <c r="AZ71" s="298"/>
      <c r="BA71" s="298"/>
      <c r="BB71" s="298"/>
      <c r="BC71" s="499"/>
      <c r="BD71" s="499"/>
      <c r="BE71" s="499"/>
      <c r="BF71" s="298"/>
      <c r="BG71" s="298"/>
      <c r="BH71" s="298"/>
      <c r="BI71" s="712"/>
      <c r="BJ71" s="712"/>
      <c r="BK71" s="712"/>
      <c r="BL71" s="714"/>
      <c r="BM71" s="712"/>
      <c r="BN71" s="712"/>
      <c r="BO71" s="712"/>
      <c r="BP71" s="714"/>
      <c r="BQ71" s="714"/>
      <c r="BR71" s="712"/>
      <c r="BS71" s="712"/>
      <c r="BT71" s="712"/>
      <c r="BU71" s="714"/>
      <c r="BV71" s="714"/>
      <c r="BW71" s="712"/>
      <c r="BX71" s="712"/>
      <c r="BY71" s="714"/>
      <c r="BZ71" s="714"/>
      <c r="CA71" s="712"/>
      <c r="CB71" s="297">
        <v>69300</v>
      </c>
      <c r="CC71" s="297">
        <v>69</v>
      </c>
      <c r="CD71" s="712"/>
    </row>
    <row r="72" spans="1:82" ht="22.5" x14ac:dyDescent="0.2">
      <c r="A72" s="703"/>
      <c r="B72" s="292" t="s">
        <v>1384</v>
      </c>
      <c r="C72" s="293" t="s">
        <v>697</v>
      </c>
      <c r="D72" s="314"/>
      <c r="E72" s="703"/>
      <c r="F72" s="317" t="s">
        <v>698</v>
      </c>
      <c r="G72" s="296"/>
      <c r="H72" s="296"/>
      <c r="I72" s="296"/>
      <c r="J72" s="296">
        <f t="shared" si="24"/>
        <v>25</v>
      </c>
      <c r="K72" s="296">
        <f t="shared" si="24"/>
        <v>0</v>
      </c>
      <c r="L72" s="296">
        <f t="shared" si="24"/>
        <v>25</v>
      </c>
      <c r="M72" s="499">
        <v>25</v>
      </c>
      <c r="N72" s="499">
        <v>0</v>
      </c>
      <c r="O72" s="499">
        <f t="shared" si="22"/>
        <v>25</v>
      </c>
      <c r="P72" s="499">
        <f t="shared" si="19"/>
        <v>0</v>
      </c>
      <c r="Q72" s="499">
        <f t="shared" si="19"/>
        <v>0</v>
      </c>
      <c r="R72" s="499">
        <f t="shared" si="19"/>
        <v>0</v>
      </c>
      <c r="S72" s="499">
        <v>25</v>
      </c>
      <c r="T72" s="499">
        <v>0</v>
      </c>
      <c r="U72" s="499">
        <f t="shared" si="23"/>
        <v>25</v>
      </c>
      <c r="V72" s="499"/>
      <c r="W72" s="499"/>
      <c r="X72" s="499"/>
      <c r="Y72" s="499">
        <v>25</v>
      </c>
      <c r="Z72" s="499">
        <v>0</v>
      </c>
      <c r="AA72" s="499">
        <v>25</v>
      </c>
      <c r="AB72" s="499">
        <f t="shared" si="21"/>
        <v>0</v>
      </c>
      <c r="AC72" s="499">
        <f t="shared" si="21"/>
        <v>0</v>
      </c>
      <c r="AD72" s="499">
        <f t="shared" si="21"/>
        <v>0</v>
      </c>
      <c r="AE72" s="499">
        <v>25</v>
      </c>
      <c r="AF72" s="499">
        <v>0</v>
      </c>
      <c r="AG72" s="499">
        <v>25</v>
      </c>
      <c r="AH72" s="299"/>
      <c r="AI72" s="296"/>
      <c r="AJ72" s="499"/>
      <c r="AK72" s="298"/>
      <c r="AL72" s="298"/>
      <c r="AM72" s="298"/>
      <c r="AN72" s="298"/>
      <c r="AO72" s="298"/>
      <c r="AP72" s="298"/>
      <c r="AQ72" s="298"/>
      <c r="AR72" s="298"/>
      <c r="AS72" s="298"/>
      <c r="AT72" s="298"/>
      <c r="AU72" s="298"/>
      <c r="AV72" s="298"/>
      <c r="AW72" s="298"/>
      <c r="AX72" s="298"/>
      <c r="AY72" s="298"/>
      <c r="AZ72" s="298"/>
      <c r="BA72" s="298"/>
      <c r="BB72" s="298"/>
      <c r="BC72" s="499"/>
      <c r="BD72" s="499"/>
      <c r="BE72" s="499"/>
      <c r="BF72" s="298"/>
      <c r="BG72" s="298"/>
      <c r="BH72" s="298"/>
      <c r="BI72" s="712"/>
      <c r="BJ72" s="712"/>
      <c r="BK72" s="712"/>
      <c r="BL72" s="714"/>
      <c r="BM72" s="712"/>
      <c r="BN72" s="712"/>
      <c r="BO72" s="712"/>
      <c r="BP72" s="714"/>
      <c r="BQ72" s="714"/>
      <c r="BR72" s="712"/>
      <c r="BS72" s="712"/>
      <c r="BT72" s="712"/>
      <c r="BU72" s="714"/>
      <c r="BV72" s="714"/>
      <c r="BW72" s="712"/>
      <c r="BX72" s="712"/>
      <c r="BY72" s="714"/>
      <c r="BZ72" s="714"/>
      <c r="CA72" s="712"/>
      <c r="CB72" s="297">
        <v>24300</v>
      </c>
      <c r="CC72" s="297">
        <v>24</v>
      </c>
      <c r="CD72" s="712"/>
    </row>
    <row r="73" spans="1:82" ht="22.5" x14ac:dyDescent="0.2">
      <c r="A73" s="703"/>
      <c r="B73" s="292" t="s">
        <v>1384</v>
      </c>
      <c r="C73" s="293" t="s">
        <v>699</v>
      </c>
      <c r="D73" s="314"/>
      <c r="E73" s="703"/>
      <c r="F73" s="317" t="s">
        <v>700</v>
      </c>
      <c r="G73" s="296"/>
      <c r="H73" s="296"/>
      <c r="I73" s="296"/>
      <c r="J73" s="296">
        <f t="shared" si="24"/>
        <v>24</v>
      </c>
      <c r="K73" s="296">
        <f t="shared" si="24"/>
        <v>0</v>
      </c>
      <c r="L73" s="296">
        <f t="shared" si="24"/>
        <v>24</v>
      </c>
      <c r="M73" s="499">
        <v>24</v>
      </c>
      <c r="N73" s="499">
        <v>0</v>
      </c>
      <c r="O73" s="499">
        <f t="shared" si="22"/>
        <v>24</v>
      </c>
      <c r="P73" s="499">
        <f t="shared" si="19"/>
        <v>0</v>
      </c>
      <c r="Q73" s="499">
        <f t="shared" si="19"/>
        <v>0</v>
      </c>
      <c r="R73" s="499">
        <f t="shared" si="19"/>
        <v>0</v>
      </c>
      <c r="S73" s="499">
        <v>24</v>
      </c>
      <c r="T73" s="499">
        <v>0</v>
      </c>
      <c r="U73" s="499">
        <f t="shared" si="23"/>
        <v>24</v>
      </c>
      <c r="V73" s="499"/>
      <c r="W73" s="499"/>
      <c r="X73" s="499"/>
      <c r="Y73" s="499">
        <v>24</v>
      </c>
      <c r="Z73" s="499">
        <v>0</v>
      </c>
      <c r="AA73" s="499">
        <v>24</v>
      </c>
      <c r="AB73" s="499">
        <f t="shared" si="21"/>
        <v>0</v>
      </c>
      <c r="AC73" s="499">
        <f t="shared" si="21"/>
        <v>0</v>
      </c>
      <c r="AD73" s="499">
        <f t="shared" si="21"/>
        <v>0</v>
      </c>
      <c r="AE73" s="499">
        <v>24</v>
      </c>
      <c r="AF73" s="499">
        <v>0</v>
      </c>
      <c r="AG73" s="499">
        <v>24</v>
      </c>
      <c r="AH73" s="299"/>
      <c r="AI73" s="296"/>
      <c r="AJ73" s="499"/>
      <c r="AK73" s="298"/>
      <c r="AL73" s="298"/>
      <c r="AM73" s="298"/>
      <c r="AN73" s="298"/>
      <c r="AO73" s="298"/>
      <c r="AP73" s="298"/>
      <c r="AQ73" s="298"/>
      <c r="AR73" s="298"/>
      <c r="AS73" s="298"/>
      <c r="AT73" s="298"/>
      <c r="AU73" s="298"/>
      <c r="AV73" s="298"/>
      <c r="AW73" s="298"/>
      <c r="AX73" s="298"/>
      <c r="AY73" s="298"/>
      <c r="AZ73" s="298"/>
      <c r="BA73" s="298"/>
      <c r="BB73" s="298"/>
      <c r="BC73" s="499"/>
      <c r="BD73" s="499"/>
      <c r="BE73" s="499"/>
      <c r="BF73" s="298"/>
      <c r="BG73" s="298"/>
      <c r="BH73" s="298"/>
      <c r="BI73" s="712"/>
      <c r="BJ73" s="712"/>
      <c r="BK73" s="712"/>
      <c r="BL73" s="714"/>
      <c r="BM73" s="712"/>
      <c r="BN73" s="712"/>
      <c r="BO73" s="712"/>
      <c r="BP73" s="714"/>
      <c r="BQ73" s="714"/>
      <c r="BR73" s="712"/>
      <c r="BS73" s="712"/>
      <c r="BT73" s="712"/>
      <c r="BU73" s="714"/>
      <c r="BV73" s="714"/>
      <c r="BW73" s="712"/>
      <c r="BX73" s="712"/>
      <c r="BY73" s="714"/>
      <c r="BZ73" s="714"/>
      <c r="CA73" s="712"/>
      <c r="CB73" s="297">
        <v>24300</v>
      </c>
      <c r="CC73" s="297">
        <v>24</v>
      </c>
      <c r="CD73" s="712"/>
    </row>
    <row r="74" spans="1:82" ht="22.5" x14ac:dyDescent="0.2">
      <c r="A74" s="703"/>
      <c r="B74" s="292" t="s">
        <v>1384</v>
      </c>
      <c r="C74" s="293" t="s">
        <v>701</v>
      </c>
      <c r="D74" s="314"/>
      <c r="E74" s="703"/>
      <c r="F74" s="317" t="s">
        <v>702</v>
      </c>
      <c r="G74" s="296"/>
      <c r="H74" s="296"/>
      <c r="I74" s="296"/>
      <c r="J74" s="296">
        <f t="shared" si="24"/>
        <v>69</v>
      </c>
      <c r="K74" s="296">
        <f t="shared" si="24"/>
        <v>0</v>
      </c>
      <c r="L74" s="296">
        <f t="shared" si="24"/>
        <v>69</v>
      </c>
      <c r="M74" s="499">
        <v>69</v>
      </c>
      <c r="N74" s="499">
        <v>0</v>
      </c>
      <c r="O74" s="499">
        <f t="shared" si="22"/>
        <v>69</v>
      </c>
      <c r="P74" s="499">
        <f t="shared" si="19"/>
        <v>0</v>
      </c>
      <c r="Q74" s="499">
        <f t="shared" si="19"/>
        <v>0</v>
      </c>
      <c r="R74" s="499">
        <f t="shared" si="19"/>
        <v>0</v>
      </c>
      <c r="S74" s="499">
        <v>69</v>
      </c>
      <c r="T74" s="499">
        <v>0</v>
      </c>
      <c r="U74" s="499">
        <f t="shared" si="23"/>
        <v>69</v>
      </c>
      <c r="V74" s="499"/>
      <c r="W74" s="499"/>
      <c r="X74" s="499"/>
      <c r="Y74" s="499">
        <v>69</v>
      </c>
      <c r="Z74" s="499">
        <v>0</v>
      </c>
      <c r="AA74" s="499">
        <v>69</v>
      </c>
      <c r="AB74" s="499">
        <f t="shared" si="21"/>
        <v>0</v>
      </c>
      <c r="AC74" s="499">
        <f t="shared" si="21"/>
        <v>0</v>
      </c>
      <c r="AD74" s="499">
        <f t="shared" si="21"/>
        <v>0</v>
      </c>
      <c r="AE74" s="499">
        <v>69</v>
      </c>
      <c r="AF74" s="499">
        <v>0</v>
      </c>
      <c r="AG74" s="499">
        <v>69</v>
      </c>
      <c r="AH74" s="299"/>
      <c r="AI74" s="296"/>
      <c r="AJ74" s="499"/>
      <c r="AK74" s="298"/>
      <c r="AL74" s="298"/>
      <c r="AM74" s="298"/>
      <c r="AN74" s="298"/>
      <c r="AO74" s="298"/>
      <c r="AP74" s="298"/>
      <c r="AQ74" s="298"/>
      <c r="AR74" s="298"/>
      <c r="AS74" s="298"/>
      <c r="AT74" s="298"/>
      <c r="AU74" s="298"/>
      <c r="AV74" s="298"/>
      <c r="AW74" s="298"/>
      <c r="AX74" s="298"/>
      <c r="AY74" s="298"/>
      <c r="AZ74" s="298"/>
      <c r="BA74" s="298"/>
      <c r="BB74" s="298"/>
      <c r="BC74" s="499"/>
      <c r="BD74" s="499"/>
      <c r="BE74" s="499"/>
      <c r="BF74" s="298"/>
      <c r="BG74" s="298"/>
      <c r="BH74" s="298"/>
      <c r="BI74" s="712"/>
      <c r="BJ74" s="712"/>
      <c r="BK74" s="712"/>
      <c r="BL74" s="714"/>
      <c r="BM74" s="712"/>
      <c r="BN74" s="712"/>
      <c r="BO74" s="712"/>
      <c r="BP74" s="714"/>
      <c r="BQ74" s="714"/>
      <c r="BR74" s="712"/>
      <c r="BS74" s="712"/>
      <c r="BT74" s="712"/>
      <c r="BU74" s="714"/>
      <c r="BV74" s="714"/>
      <c r="BW74" s="712"/>
      <c r="BX74" s="712"/>
      <c r="BY74" s="714"/>
      <c r="BZ74" s="714"/>
      <c r="CA74" s="712"/>
      <c r="CB74" s="297">
        <v>69300</v>
      </c>
      <c r="CC74" s="297">
        <v>69</v>
      </c>
      <c r="CD74" s="712"/>
    </row>
    <row r="75" spans="1:82" ht="22.5" x14ac:dyDescent="0.2">
      <c r="A75" s="703"/>
      <c r="B75" s="292" t="s">
        <v>1384</v>
      </c>
      <c r="C75" s="293" t="s">
        <v>703</v>
      </c>
      <c r="D75" s="314"/>
      <c r="E75" s="703"/>
      <c r="F75" s="317" t="s">
        <v>704</v>
      </c>
      <c r="G75" s="296"/>
      <c r="H75" s="296"/>
      <c r="I75" s="296"/>
      <c r="J75" s="296">
        <v>25</v>
      </c>
      <c r="K75" s="296">
        <f>N75-H75</f>
        <v>0</v>
      </c>
      <c r="L75" s="296">
        <f>O75-I75</f>
        <v>24</v>
      </c>
      <c r="M75" s="499">
        <v>24</v>
      </c>
      <c r="N75" s="499">
        <v>0</v>
      </c>
      <c r="O75" s="499">
        <f t="shared" si="22"/>
        <v>24</v>
      </c>
      <c r="P75" s="499">
        <f t="shared" si="19"/>
        <v>0</v>
      </c>
      <c r="Q75" s="499">
        <f>T75-N75</f>
        <v>0</v>
      </c>
      <c r="R75" s="499">
        <f>U75-O75</f>
        <v>0</v>
      </c>
      <c r="S75" s="499">
        <v>24</v>
      </c>
      <c r="T75" s="499">
        <v>0</v>
      </c>
      <c r="U75" s="499">
        <f t="shared" si="23"/>
        <v>24</v>
      </c>
      <c r="V75" s="499"/>
      <c r="W75" s="499"/>
      <c r="X75" s="499"/>
      <c r="Y75" s="499">
        <v>24</v>
      </c>
      <c r="Z75" s="499">
        <v>0</v>
      </c>
      <c r="AA75" s="499">
        <v>24</v>
      </c>
      <c r="AB75" s="499">
        <f t="shared" si="21"/>
        <v>0</v>
      </c>
      <c r="AC75" s="499">
        <f t="shared" si="21"/>
        <v>0</v>
      </c>
      <c r="AD75" s="499">
        <f t="shared" si="21"/>
        <v>0</v>
      </c>
      <c r="AE75" s="499">
        <v>24</v>
      </c>
      <c r="AF75" s="499">
        <v>0</v>
      </c>
      <c r="AG75" s="499">
        <v>24</v>
      </c>
      <c r="AH75" s="299"/>
      <c r="AI75" s="296"/>
      <c r="AJ75" s="499"/>
      <c r="AK75" s="298"/>
      <c r="AL75" s="298"/>
      <c r="AM75" s="298"/>
      <c r="AN75" s="298"/>
      <c r="AO75" s="298"/>
      <c r="AP75" s="298"/>
      <c r="AQ75" s="298"/>
      <c r="AR75" s="298"/>
      <c r="AS75" s="298"/>
      <c r="AT75" s="298"/>
      <c r="AU75" s="298"/>
      <c r="AV75" s="298"/>
      <c r="AW75" s="298"/>
      <c r="AX75" s="298"/>
      <c r="AY75" s="298"/>
      <c r="AZ75" s="298"/>
      <c r="BA75" s="298"/>
      <c r="BB75" s="298"/>
      <c r="BC75" s="499"/>
      <c r="BD75" s="499"/>
      <c r="BE75" s="499"/>
      <c r="BF75" s="298"/>
      <c r="BG75" s="298"/>
      <c r="BH75" s="298"/>
      <c r="BI75" s="712"/>
      <c r="BJ75" s="712"/>
      <c r="BK75" s="712"/>
      <c r="BL75" s="714"/>
      <c r="BM75" s="712"/>
      <c r="BN75" s="712"/>
      <c r="BO75" s="712"/>
      <c r="BP75" s="714"/>
      <c r="BQ75" s="714"/>
      <c r="BR75" s="712"/>
      <c r="BS75" s="712"/>
      <c r="BT75" s="712"/>
      <c r="BU75" s="714"/>
      <c r="BV75" s="714"/>
      <c r="BW75" s="712"/>
      <c r="BX75" s="712"/>
      <c r="BY75" s="714"/>
      <c r="BZ75" s="714"/>
      <c r="CA75" s="712"/>
      <c r="CB75" s="297">
        <v>24300</v>
      </c>
      <c r="CC75" s="297">
        <v>24</v>
      </c>
      <c r="CD75" s="712"/>
    </row>
    <row r="76" spans="1:82" ht="22.5" x14ac:dyDescent="0.2">
      <c r="A76" s="703"/>
      <c r="B76" s="292" t="s">
        <v>1384</v>
      </c>
      <c r="C76" s="293" t="s">
        <v>1158</v>
      </c>
      <c r="D76" s="314"/>
      <c r="E76" s="703"/>
      <c r="F76" s="317" t="s">
        <v>1159</v>
      </c>
      <c r="G76" s="296"/>
      <c r="H76" s="296"/>
      <c r="I76" s="296"/>
      <c r="J76" s="296"/>
      <c r="K76" s="296"/>
      <c r="L76" s="296"/>
      <c r="M76" s="499"/>
      <c r="N76" s="499"/>
      <c r="O76" s="499"/>
      <c r="P76" s="499">
        <f t="shared" ref="P76:R84" si="25">S76-M76</f>
        <v>896</v>
      </c>
      <c r="Q76" s="499">
        <f t="shared" si="25"/>
        <v>0</v>
      </c>
      <c r="R76" s="499">
        <f t="shared" si="25"/>
        <v>896</v>
      </c>
      <c r="S76" s="499">
        <v>896</v>
      </c>
      <c r="T76" s="499"/>
      <c r="U76" s="499">
        <f t="shared" si="23"/>
        <v>896</v>
      </c>
      <c r="V76" s="499"/>
      <c r="W76" s="499"/>
      <c r="X76" s="499"/>
      <c r="Y76" s="499">
        <v>896</v>
      </c>
      <c r="Z76" s="499"/>
      <c r="AA76" s="499">
        <v>896</v>
      </c>
      <c r="AB76" s="499">
        <f t="shared" si="21"/>
        <v>0</v>
      </c>
      <c r="AC76" s="499">
        <f t="shared" si="21"/>
        <v>0</v>
      </c>
      <c r="AD76" s="499">
        <f t="shared" si="21"/>
        <v>0</v>
      </c>
      <c r="AE76" s="499">
        <v>896</v>
      </c>
      <c r="AF76" s="499"/>
      <c r="AG76" s="499">
        <v>896</v>
      </c>
      <c r="AH76" s="299"/>
      <c r="AI76" s="296"/>
      <c r="AJ76" s="499"/>
      <c r="AK76" s="298"/>
      <c r="AL76" s="298"/>
      <c r="AM76" s="298"/>
      <c r="AN76" s="298"/>
      <c r="AO76" s="298"/>
      <c r="AP76" s="298"/>
      <c r="AQ76" s="298"/>
      <c r="AR76" s="298"/>
      <c r="AS76" s="298"/>
      <c r="AT76" s="298"/>
      <c r="AU76" s="298"/>
      <c r="AV76" s="298"/>
      <c r="AW76" s="298"/>
      <c r="AX76" s="298"/>
      <c r="AY76" s="298"/>
      <c r="AZ76" s="298"/>
      <c r="BA76" s="298"/>
      <c r="BB76" s="298"/>
      <c r="BC76" s="499"/>
      <c r="BD76" s="499"/>
      <c r="BE76" s="499"/>
      <c r="BF76" s="298"/>
      <c r="BG76" s="298"/>
      <c r="BH76" s="298"/>
      <c r="BI76" s="712"/>
      <c r="BJ76" s="712"/>
      <c r="BK76" s="712"/>
      <c r="BL76" s="714"/>
      <c r="BM76" s="712"/>
      <c r="BN76" s="712"/>
      <c r="BO76" s="712"/>
      <c r="BP76" s="714"/>
      <c r="BQ76" s="714"/>
      <c r="BR76" s="712"/>
      <c r="BS76" s="712"/>
      <c r="BT76" s="712"/>
      <c r="BU76" s="714"/>
      <c r="BV76" s="714"/>
      <c r="BW76" s="712"/>
      <c r="BX76" s="712"/>
      <c r="BY76" s="714"/>
      <c r="BZ76" s="714"/>
      <c r="CA76" s="712"/>
      <c r="CB76" s="297">
        <v>896700</v>
      </c>
      <c r="CC76" s="297">
        <v>897</v>
      </c>
      <c r="CD76" s="712"/>
    </row>
    <row r="77" spans="1:82" ht="22.5" x14ac:dyDescent="0.2">
      <c r="A77" s="703"/>
      <c r="B77" s="292" t="s">
        <v>1384</v>
      </c>
      <c r="C77" s="293" t="s">
        <v>1160</v>
      </c>
      <c r="D77" s="314"/>
      <c r="E77" s="703"/>
      <c r="F77" s="317" t="s">
        <v>1161</v>
      </c>
      <c r="G77" s="296"/>
      <c r="H77" s="296"/>
      <c r="I77" s="296"/>
      <c r="J77" s="296"/>
      <c r="K77" s="296"/>
      <c r="L77" s="296"/>
      <c r="M77" s="499"/>
      <c r="N77" s="499"/>
      <c r="O77" s="499"/>
      <c r="P77" s="499">
        <f t="shared" si="25"/>
        <v>895</v>
      </c>
      <c r="Q77" s="499">
        <f t="shared" si="25"/>
        <v>0</v>
      </c>
      <c r="R77" s="499">
        <f t="shared" si="25"/>
        <v>895</v>
      </c>
      <c r="S77" s="499">
        <v>895</v>
      </c>
      <c r="T77" s="499"/>
      <c r="U77" s="499">
        <f t="shared" si="23"/>
        <v>895</v>
      </c>
      <c r="V77" s="499"/>
      <c r="W77" s="499"/>
      <c r="X77" s="499"/>
      <c r="Y77" s="499">
        <v>895</v>
      </c>
      <c r="Z77" s="499"/>
      <c r="AA77" s="499">
        <v>895</v>
      </c>
      <c r="AB77" s="499">
        <f t="shared" si="21"/>
        <v>0</v>
      </c>
      <c r="AC77" s="499">
        <f t="shared" si="21"/>
        <v>0</v>
      </c>
      <c r="AD77" s="499">
        <f t="shared" si="21"/>
        <v>0</v>
      </c>
      <c r="AE77" s="499">
        <v>895</v>
      </c>
      <c r="AF77" s="499"/>
      <c r="AG77" s="499">
        <v>895</v>
      </c>
      <c r="AH77" s="299"/>
      <c r="AI77" s="296"/>
      <c r="AJ77" s="499"/>
      <c r="AK77" s="298"/>
      <c r="AL77" s="298"/>
      <c r="AM77" s="298"/>
      <c r="AN77" s="298"/>
      <c r="AO77" s="298"/>
      <c r="AP77" s="298"/>
      <c r="AQ77" s="298"/>
      <c r="AR77" s="298"/>
      <c r="AS77" s="298"/>
      <c r="AT77" s="298"/>
      <c r="AU77" s="298"/>
      <c r="AV77" s="298"/>
      <c r="AW77" s="298"/>
      <c r="AX77" s="298"/>
      <c r="AY77" s="298"/>
      <c r="AZ77" s="298"/>
      <c r="BA77" s="298"/>
      <c r="BB77" s="298"/>
      <c r="BC77" s="499"/>
      <c r="BD77" s="499"/>
      <c r="BE77" s="499"/>
      <c r="BF77" s="298"/>
      <c r="BG77" s="298"/>
      <c r="BH77" s="298"/>
      <c r="BI77" s="712"/>
      <c r="BJ77" s="712"/>
      <c r="BK77" s="712"/>
      <c r="BL77" s="714"/>
      <c r="BM77" s="712"/>
      <c r="BN77" s="712"/>
      <c r="BO77" s="712"/>
      <c r="BP77" s="714"/>
      <c r="BQ77" s="714"/>
      <c r="BR77" s="712"/>
      <c r="BS77" s="712"/>
      <c r="BT77" s="712"/>
      <c r="BU77" s="714"/>
      <c r="BV77" s="714"/>
      <c r="BW77" s="712"/>
      <c r="BX77" s="712"/>
      <c r="BY77" s="714"/>
      <c r="BZ77" s="714"/>
      <c r="CA77" s="712"/>
      <c r="CB77" s="297">
        <v>895200</v>
      </c>
      <c r="CC77" s="297">
        <v>895</v>
      </c>
      <c r="CD77" s="712"/>
    </row>
    <row r="78" spans="1:82" ht="22.5" x14ac:dyDescent="0.2">
      <c r="A78" s="703"/>
      <c r="B78" s="292" t="s">
        <v>1384</v>
      </c>
      <c r="C78" s="293" t="s">
        <v>1162</v>
      </c>
      <c r="D78" s="314"/>
      <c r="E78" s="703"/>
      <c r="F78" s="317" t="s">
        <v>1163</v>
      </c>
      <c r="G78" s="296"/>
      <c r="H78" s="296"/>
      <c r="I78" s="296"/>
      <c r="J78" s="296"/>
      <c r="K78" s="296"/>
      <c r="L78" s="296"/>
      <c r="M78" s="499"/>
      <c r="N78" s="499"/>
      <c r="O78" s="499"/>
      <c r="P78" s="499">
        <f t="shared" si="25"/>
        <v>494</v>
      </c>
      <c r="Q78" s="499">
        <f t="shared" si="25"/>
        <v>0</v>
      </c>
      <c r="R78" s="499">
        <f t="shared" si="25"/>
        <v>494</v>
      </c>
      <c r="S78" s="499">
        <v>494</v>
      </c>
      <c r="T78" s="499"/>
      <c r="U78" s="499">
        <f t="shared" si="23"/>
        <v>494</v>
      </c>
      <c r="V78" s="499"/>
      <c r="W78" s="499"/>
      <c r="X78" s="499"/>
      <c r="Y78" s="499">
        <v>494</v>
      </c>
      <c r="Z78" s="499"/>
      <c r="AA78" s="499">
        <v>494</v>
      </c>
      <c r="AB78" s="499">
        <f t="shared" si="21"/>
        <v>0</v>
      </c>
      <c r="AC78" s="499">
        <f t="shared" si="21"/>
        <v>0</v>
      </c>
      <c r="AD78" s="499">
        <f t="shared" si="21"/>
        <v>0</v>
      </c>
      <c r="AE78" s="499">
        <v>494</v>
      </c>
      <c r="AF78" s="499"/>
      <c r="AG78" s="499">
        <v>494</v>
      </c>
      <c r="AH78" s="299"/>
      <c r="AI78" s="296"/>
      <c r="AJ78" s="499"/>
      <c r="AK78" s="298"/>
      <c r="AL78" s="298"/>
      <c r="AM78" s="298"/>
      <c r="AN78" s="298"/>
      <c r="AO78" s="298"/>
      <c r="AP78" s="298"/>
      <c r="AQ78" s="298"/>
      <c r="AR78" s="298"/>
      <c r="AS78" s="298"/>
      <c r="AT78" s="298"/>
      <c r="AU78" s="298"/>
      <c r="AV78" s="298"/>
      <c r="AW78" s="298"/>
      <c r="AX78" s="298"/>
      <c r="AY78" s="298"/>
      <c r="AZ78" s="298"/>
      <c r="BA78" s="298"/>
      <c r="BB78" s="298"/>
      <c r="BC78" s="499"/>
      <c r="BD78" s="499"/>
      <c r="BE78" s="499"/>
      <c r="BF78" s="298"/>
      <c r="BG78" s="298"/>
      <c r="BH78" s="298"/>
      <c r="BI78" s="712"/>
      <c r="BJ78" s="712"/>
      <c r="BK78" s="712"/>
      <c r="BL78" s="714"/>
      <c r="BM78" s="712"/>
      <c r="BN78" s="712"/>
      <c r="BO78" s="712"/>
      <c r="BP78" s="714"/>
      <c r="BQ78" s="714"/>
      <c r="BR78" s="712"/>
      <c r="BS78" s="712"/>
      <c r="BT78" s="712"/>
      <c r="BU78" s="714"/>
      <c r="BV78" s="714"/>
      <c r="BW78" s="712"/>
      <c r="BX78" s="712"/>
      <c r="BY78" s="714"/>
      <c r="BZ78" s="714"/>
      <c r="CA78" s="712"/>
      <c r="CB78" s="297">
        <v>494400</v>
      </c>
      <c r="CC78" s="297">
        <v>494</v>
      </c>
      <c r="CD78" s="712"/>
    </row>
    <row r="79" spans="1:82" ht="22.5" x14ac:dyDescent="0.2">
      <c r="A79" s="703"/>
      <c r="B79" s="292" t="s">
        <v>1384</v>
      </c>
      <c r="C79" s="293" t="s">
        <v>1164</v>
      </c>
      <c r="D79" s="314"/>
      <c r="E79" s="703"/>
      <c r="F79" s="317" t="s">
        <v>1165</v>
      </c>
      <c r="G79" s="296"/>
      <c r="H79" s="296"/>
      <c r="I79" s="296"/>
      <c r="J79" s="296"/>
      <c r="K79" s="296"/>
      <c r="L79" s="296"/>
      <c r="M79" s="499"/>
      <c r="N79" s="499"/>
      <c r="O79" s="499"/>
      <c r="P79" s="499">
        <f t="shared" si="25"/>
        <v>495</v>
      </c>
      <c r="Q79" s="499">
        <f t="shared" si="25"/>
        <v>0</v>
      </c>
      <c r="R79" s="499">
        <f t="shared" si="25"/>
        <v>495</v>
      </c>
      <c r="S79" s="499">
        <v>495</v>
      </c>
      <c r="T79" s="499"/>
      <c r="U79" s="499">
        <f t="shared" si="23"/>
        <v>495</v>
      </c>
      <c r="V79" s="499"/>
      <c r="W79" s="499"/>
      <c r="X79" s="499"/>
      <c r="Y79" s="499">
        <v>495</v>
      </c>
      <c r="Z79" s="499"/>
      <c r="AA79" s="499">
        <v>495</v>
      </c>
      <c r="AB79" s="499">
        <f t="shared" si="21"/>
        <v>0</v>
      </c>
      <c r="AC79" s="499">
        <f t="shared" si="21"/>
        <v>0</v>
      </c>
      <c r="AD79" s="499">
        <f t="shared" si="21"/>
        <v>0</v>
      </c>
      <c r="AE79" s="499">
        <v>495</v>
      </c>
      <c r="AF79" s="499"/>
      <c r="AG79" s="499">
        <v>495</v>
      </c>
      <c r="AH79" s="299"/>
      <c r="AI79" s="296"/>
      <c r="AJ79" s="499"/>
      <c r="AK79" s="298"/>
      <c r="AL79" s="298"/>
      <c r="AM79" s="298"/>
      <c r="AN79" s="298"/>
      <c r="AO79" s="298"/>
      <c r="AP79" s="298"/>
      <c r="AQ79" s="298"/>
      <c r="AR79" s="298"/>
      <c r="AS79" s="298"/>
      <c r="AT79" s="298"/>
      <c r="AU79" s="298"/>
      <c r="AV79" s="298"/>
      <c r="AW79" s="298"/>
      <c r="AX79" s="298"/>
      <c r="AY79" s="298"/>
      <c r="AZ79" s="298"/>
      <c r="BA79" s="298"/>
      <c r="BB79" s="298"/>
      <c r="BC79" s="499"/>
      <c r="BD79" s="499"/>
      <c r="BE79" s="499"/>
      <c r="BF79" s="298"/>
      <c r="BG79" s="298"/>
      <c r="BH79" s="298"/>
      <c r="BI79" s="712"/>
      <c r="BJ79" s="712"/>
      <c r="BK79" s="712"/>
      <c r="BL79" s="714"/>
      <c r="BM79" s="712"/>
      <c r="BN79" s="712"/>
      <c r="BO79" s="712"/>
      <c r="BP79" s="714"/>
      <c r="BQ79" s="714"/>
      <c r="BR79" s="712"/>
      <c r="BS79" s="712"/>
      <c r="BT79" s="712"/>
      <c r="BU79" s="714"/>
      <c r="BV79" s="714"/>
      <c r="BW79" s="712"/>
      <c r="BX79" s="712"/>
      <c r="BY79" s="714"/>
      <c r="BZ79" s="714"/>
      <c r="CA79" s="712"/>
      <c r="CB79" s="297">
        <v>494400</v>
      </c>
      <c r="CC79" s="297">
        <v>494</v>
      </c>
      <c r="CD79" s="712"/>
    </row>
    <row r="80" spans="1:82" ht="22.5" x14ac:dyDescent="0.2">
      <c r="A80" s="703"/>
      <c r="B80" s="292" t="s">
        <v>1384</v>
      </c>
      <c r="C80" s="293" t="s">
        <v>1166</v>
      </c>
      <c r="D80" s="314"/>
      <c r="E80" s="703"/>
      <c r="F80" s="317" t="s">
        <v>1167</v>
      </c>
      <c r="G80" s="296"/>
      <c r="H80" s="296"/>
      <c r="I80" s="296"/>
      <c r="J80" s="296"/>
      <c r="K80" s="296"/>
      <c r="L80" s="296"/>
      <c r="M80" s="499"/>
      <c r="N80" s="499"/>
      <c r="O80" s="499"/>
      <c r="P80" s="499">
        <f t="shared" si="25"/>
        <v>176</v>
      </c>
      <c r="Q80" s="499">
        <f t="shared" si="25"/>
        <v>0</v>
      </c>
      <c r="R80" s="499">
        <f t="shared" si="25"/>
        <v>176</v>
      </c>
      <c r="S80" s="499">
        <v>176</v>
      </c>
      <c r="T80" s="499">
        <v>0</v>
      </c>
      <c r="U80" s="499">
        <f t="shared" si="23"/>
        <v>176</v>
      </c>
      <c r="V80" s="499"/>
      <c r="W80" s="499"/>
      <c r="X80" s="499"/>
      <c r="Y80" s="499">
        <v>176</v>
      </c>
      <c r="Z80" s="499">
        <v>0</v>
      </c>
      <c r="AA80" s="499">
        <v>176</v>
      </c>
      <c r="AB80" s="499">
        <f t="shared" si="21"/>
        <v>0</v>
      </c>
      <c r="AC80" s="499">
        <f t="shared" si="21"/>
        <v>0</v>
      </c>
      <c r="AD80" s="499">
        <f t="shared" si="21"/>
        <v>0</v>
      </c>
      <c r="AE80" s="499">
        <v>176</v>
      </c>
      <c r="AF80" s="499">
        <v>0</v>
      </c>
      <c r="AG80" s="499">
        <v>176</v>
      </c>
      <c r="AH80" s="299"/>
      <c r="AI80" s="296"/>
      <c r="AJ80" s="499"/>
      <c r="AK80" s="298"/>
      <c r="AL80" s="298"/>
      <c r="AM80" s="298"/>
      <c r="AN80" s="298"/>
      <c r="AO80" s="298"/>
      <c r="AP80" s="298"/>
      <c r="AQ80" s="298"/>
      <c r="AR80" s="298"/>
      <c r="AS80" s="298"/>
      <c r="AT80" s="298"/>
      <c r="AU80" s="298"/>
      <c r="AV80" s="298"/>
      <c r="AW80" s="298"/>
      <c r="AX80" s="298"/>
      <c r="AY80" s="298"/>
      <c r="AZ80" s="298"/>
      <c r="BA80" s="298"/>
      <c r="BB80" s="298"/>
      <c r="BC80" s="499"/>
      <c r="BD80" s="499"/>
      <c r="BE80" s="499"/>
      <c r="BF80" s="298"/>
      <c r="BG80" s="298"/>
      <c r="BH80" s="298"/>
      <c r="BI80" s="712"/>
      <c r="BJ80" s="712"/>
      <c r="BK80" s="712"/>
      <c r="BL80" s="714"/>
      <c r="BM80" s="712"/>
      <c r="BN80" s="712"/>
      <c r="BO80" s="712"/>
      <c r="BP80" s="714"/>
      <c r="BQ80" s="714"/>
      <c r="BR80" s="712"/>
      <c r="BS80" s="712"/>
      <c r="BT80" s="712"/>
      <c r="BU80" s="714"/>
      <c r="BV80" s="714"/>
      <c r="BW80" s="712"/>
      <c r="BX80" s="712"/>
      <c r="BY80" s="714"/>
      <c r="BZ80" s="714"/>
      <c r="CA80" s="712"/>
      <c r="CB80" s="297">
        <v>176100</v>
      </c>
      <c r="CC80" s="297">
        <v>176</v>
      </c>
      <c r="CD80" s="712"/>
    </row>
    <row r="81" spans="1:82" ht="22.5" x14ac:dyDescent="0.2">
      <c r="A81" s="703"/>
      <c r="B81" s="292" t="s">
        <v>1384</v>
      </c>
      <c r="C81" s="293" t="s">
        <v>1168</v>
      </c>
      <c r="D81" s="314"/>
      <c r="E81" s="703"/>
      <c r="F81" s="317" t="s">
        <v>1169</v>
      </c>
      <c r="G81" s="296"/>
      <c r="H81" s="296"/>
      <c r="I81" s="296"/>
      <c r="J81" s="296"/>
      <c r="K81" s="296"/>
      <c r="L81" s="296"/>
      <c r="M81" s="499"/>
      <c r="N81" s="499"/>
      <c r="O81" s="499"/>
      <c r="P81" s="499">
        <f t="shared" si="25"/>
        <v>264</v>
      </c>
      <c r="Q81" s="499">
        <f t="shared" si="25"/>
        <v>0</v>
      </c>
      <c r="R81" s="499">
        <f t="shared" si="25"/>
        <v>264</v>
      </c>
      <c r="S81" s="499">
        <v>264</v>
      </c>
      <c r="T81" s="499">
        <v>0</v>
      </c>
      <c r="U81" s="499">
        <f t="shared" si="23"/>
        <v>264</v>
      </c>
      <c r="V81" s="499"/>
      <c r="W81" s="499"/>
      <c r="X81" s="499"/>
      <c r="Y81" s="499">
        <v>264</v>
      </c>
      <c r="Z81" s="499">
        <v>0</v>
      </c>
      <c r="AA81" s="499">
        <v>264</v>
      </c>
      <c r="AB81" s="499">
        <f t="shared" si="21"/>
        <v>0</v>
      </c>
      <c r="AC81" s="499">
        <f t="shared" si="21"/>
        <v>0</v>
      </c>
      <c r="AD81" s="499">
        <f t="shared" si="21"/>
        <v>0</v>
      </c>
      <c r="AE81" s="499">
        <v>264</v>
      </c>
      <c r="AF81" s="499">
        <v>0</v>
      </c>
      <c r="AG81" s="499">
        <v>264</v>
      </c>
      <c r="AH81" s="299"/>
      <c r="AI81" s="296"/>
      <c r="AJ81" s="499"/>
      <c r="AK81" s="298"/>
      <c r="AL81" s="298"/>
      <c r="AM81" s="298"/>
      <c r="AN81" s="298"/>
      <c r="AO81" s="298"/>
      <c r="AP81" s="298"/>
      <c r="AQ81" s="298"/>
      <c r="AR81" s="298"/>
      <c r="AS81" s="298"/>
      <c r="AT81" s="298"/>
      <c r="AU81" s="298"/>
      <c r="AV81" s="298"/>
      <c r="AW81" s="298"/>
      <c r="AX81" s="298"/>
      <c r="AY81" s="298"/>
      <c r="AZ81" s="298"/>
      <c r="BA81" s="298"/>
      <c r="BB81" s="298"/>
      <c r="BC81" s="499"/>
      <c r="BD81" s="499"/>
      <c r="BE81" s="499"/>
      <c r="BF81" s="298"/>
      <c r="BG81" s="298"/>
      <c r="BH81" s="298"/>
      <c r="BI81" s="712"/>
      <c r="BJ81" s="712"/>
      <c r="BK81" s="712"/>
      <c r="BL81" s="714"/>
      <c r="BM81" s="712"/>
      <c r="BN81" s="712"/>
      <c r="BO81" s="712"/>
      <c r="BP81" s="714"/>
      <c r="BQ81" s="714"/>
      <c r="BR81" s="712"/>
      <c r="BS81" s="712"/>
      <c r="BT81" s="712"/>
      <c r="BU81" s="714"/>
      <c r="BV81" s="714"/>
      <c r="BW81" s="712"/>
      <c r="BX81" s="712"/>
      <c r="BY81" s="714"/>
      <c r="BZ81" s="714"/>
      <c r="CA81" s="712"/>
      <c r="CB81" s="297">
        <v>264300</v>
      </c>
      <c r="CC81" s="297">
        <v>264</v>
      </c>
      <c r="CD81" s="712"/>
    </row>
    <row r="82" spans="1:82" ht="22.5" x14ac:dyDescent="0.2">
      <c r="A82" s="703"/>
      <c r="B82" s="292" t="s">
        <v>1384</v>
      </c>
      <c r="C82" s="293" t="s">
        <v>1170</v>
      </c>
      <c r="D82" s="314"/>
      <c r="E82" s="703"/>
      <c r="F82" s="294" t="s">
        <v>1171</v>
      </c>
      <c r="G82" s="296"/>
      <c r="H82" s="296"/>
      <c r="I82" s="296"/>
      <c r="J82" s="296"/>
      <c r="K82" s="296"/>
      <c r="L82" s="296"/>
      <c r="M82" s="499"/>
      <c r="N82" s="499"/>
      <c r="O82" s="499"/>
      <c r="P82" s="499">
        <f t="shared" si="25"/>
        <v>108</v>
      </c>
      <c r="Q82" s="499">
        <f t="shared" si="25"/>
        <v>0</v>
      </c>
      <c r="R82" s="499">
        <f t="shared" si="25"/>
        <v>108</v>
      </c>
      <c r="S82" s="499">
        <v>108</v>
      </c>
      <c r="T82" s="499">
        <v>0</v>
      </c>
      <c r="U82" s="499">
        <f t="shared" si="23"/>
        <v>108</v>
      </c>
      <c r="V82" s="499"/>
      <c r="W82" s="499"/>
      <c r="X82" s="499"/>
      <c r="Y82" s="499">
        <v>108</v>
      </c>
      <c r="Z82" s="499">
        <v>0</v>
      </c>
      <c r="AA82" s="499">
        <v>108</v>
      </c>
      <c r="AB82" s="499">
        <f t="shared" si="21"/>
        <v>0</v>
      </c>
      <c r="AC82" s="499">
        <f t="shared" si="21"/>
        <v>0</v>
      </c>
      <c r="AD82" s="499">
        <f t="shared" si="21"/>
        <v>0</v>
      </c>
      <c r="AE82" s="499">
        <v>108</v>
      </c>
      <c r="AF82" s="499">
        <v>0</v>
      </c>
      <c r="AG82" s="499">
        <v>108</v>
      </c>
      <c r="AH82" s="299"/>
      <c r="AI82" s="296"/>
      <c r="AJ82" s="499"/>
      <c r="AK82" s="298"/>
      <c r="AL82" s="298"/>
      <c r="AM82" s="298"/>
      <c r="AN82" s="298"/>
      <c r="AO82" s="298"/>
      <c r="AP82" s="298"/>
      <c r="AQ82" s="298"/>
      <c r="AR82" s="298"/>
      <c r="AS82" s="298"/>
      <c r="AT82" s="298"/>
      <c r="AU82" s="298"/>
      <c r="AV82" s="298"/>
      <c r="AW82" s="298"/>
      <c r="AX82" s="298"/>
      <c r="AY82" s="298"/>
      <c r="AZ82" s="298"/>
      <c r="BA82" s="298"/>
      <c r="BB82" s="298"/>
      <c r="BC82" s="499"/>
      <c r="BD82" s="499"/>
      <c r="BE82" s="499"/>
      <c r="BF82" s="298"/>
      <c r="BG82" s="298"/>
      <c r="BH82" s="298"/>
      <c r="BI82" s="712"/>
      <c r="BJ82" s="712"/>
      <c r="BK82" s="712"/>
      <c r="BL82" s="714"/>
      <c r="BM82" s="712"/>
      <c r="BN82" s="712"/>
      <c r="BO82" s="712"/>
      <c r="BP82" s="714"/>
      <c r="BQ82" s="714"/>
      <c r="BR82" s="712"/>
      <c r="BS82" s="712"/>
      <c r="BT82" s="712"/>
      <c r="BU82" s="714"/>
      <c r="BV82" s="714"/>
      <c r="BW82" s="712"/>
      <c r="BX82" s="712"/>
      <c r="BY82" s="714"/>
      <c r="BZ82" s="714"/>
      <c r="CA82" s="712"/>
      <c r="CB82" s="297">
        <v>107700</v>
      </c>
      <c r="CC82" s="297">
        <v>108</v>
      </c>
      <c r="CD82" s="712"/>
    </row>
    <row r="83" spans="1:82" ht="22.5" x14ac:dyDescent="0.2">
      <c r="A83" s="703"/>
      <c r="B83" s="292" t="s">
        <v>1384</v>
      </c>
      <c r="C83" s="293" t="s">
        <v>1172</v>
      </c>
      <c r="D83" s="314"/>
      <c r="E83" s="703"/>
      <c r="F83" s="294" t="s">
        <v>1173</v>
      </c>
      <c r="G83" s="296"/>
      <c r="H83" s="296"/>
      <c r="I83" s="296"/>
      <c r="J83" s="296"/>
      <c r="K83" s="296"/>
      <c r="L83" s="296"/>
      <c r="M83" s="499"/>
      <c r="N83" s="499"/>
      <c r="O83" s="499"/>
      <c r="P83" s="499">
        <f t="shared" si="25"/>
        <v>231</v>
      </c>
      <c r="Q83" s="499">
        <f t="shared" si="25"/>
        <v>0</v>
      </c>
      <c r="R83" s="499">
        <f t="shared" si="25"/>
        <v>231</v>
      </c>
      <c r="S83" s="499">
        <v>231</v>
      </c>
      <c r="T83" s="499">
        <v>0</v>
      </c>
      <c r="U83" s="499">
        <f t="shared" si="23"/>
        <v>231</v>
      </c>
      <c r="V83" s="499"/>
      <c r="W83" s="499"/>
      <c r="X83" s="499"/>
      <c r="Y83" s="499">
        <v>231</v>
      </c>
      <c r="Z83" s="499">
        <v>0</v>
      </c>
      <c r="AA83" s="499">
        <v>231</v>
      </c>
      <c r="AB83" s="499">
        <f t="shared" si="21"/>
        <v>0</v>
      </c>
      <c r="AC83" s="499">
        <f t="shared" si="21"/>
        <v>0</v>
      </c>
      <c r="AD83" s="499">
        <f t="shared" si="21"/>
        <v>0</v>
      </c>
      <c r="AE83" s="499">
        <v>231</v>
      </c>
      <c r="AF83" s="499">
        <v>0</v>
      </c>
      <c r="AG83" s="499">
        <v>231</v>
      </c>
      <c r="AH83" s="299"/>
      <c r="AI83" s="296"/>
      <c r="AJ83" s="499"/>
      <c r="AK83" s="298"/>
      <c r="AL83" s="298"/>
      <c r="AM83" s="298"/>
      <c r="AN83" s="298"/>
      <c r="AO83" s="298"/>
      <c r="AP83" s="298"/>
      <c r="AQ83" s="298"/>
      <c r="AR83" s="298"/>
      <c r="AS83" s="298"/>
      <c r="AT83" s="298"/>
      <c r="AU83" s="298"/>
      <c r="AV83" s="298"/>
      <c r="AW83" s="298"/>
      <c r="AX83" s="298"/>
      <c r="AY83" s="298"/>
      <c r="AZ83" s="298"/>
      <c r="BA83" s="298"/>
      <c r="BB83" s="298"/>
      <c r="BC83" s="499"/>
      <c r="BD83" s="499"/>
      <c r="BE83" s="499"/>
      <c r="BF83" s="298"/>
      <c r="BG83" s="298"/>
      <c r="BH83" s="298"/>
      <c r="BI83" s="712"/>
      <c r="BJ83" s="712"/>
      <c r="BK83" s="712"/>
      <c r="BL83" s="714"/>
      <c r="BM83" s="712"/>
      <c r="BN83" s="712"/>
      <c r="BO83" s="712"/>
      <c r="BP83" s="714"/>
      <c r="BQ83" s="714"/>
      <c r="BR83" s="712"/>
      <c r="BS83" s="712"/>
      <c r="BT83" s="712"/>
      <c r="BU83" s="714"/>
      <c r="BV83" s="714"/>
      <c r="BW83" s="712"/>
      <c r="BX83" s="712"/>
      <c r="BY83" s="714"/>
      <c r="BZ83" s="714"/>
      <c r="CA83" s="712"/>
      <c r="CB83" s="297">
        <v>230700</v>
      </c>
      <c r="CC83" s="297">
        <v>231</v>
      </c>
      <c r="CD83" s="712"/>
    </row>
    <row r="84" spans="1:82" ht="22.5" x14ac:dyDescent="0.2">
      <c r="A84" s="703"/>
      <c r="B84" s="292" t="s">
        <v>1384</v>
      </c>
      <c r="C84" s="293" t="s">
        <v>1174</v>
      </c>
      <c r="D84" s="314"/>
      <c r="E84" s="703"/>
      <c r="F84" s="294" t="s">
        <v>1175</v>
      </c>
      <c r="G84" s="296"/>
      <c r="H84" s="296"/>
      <c r="I84" s="296"/>
      <c r="J84" s="296"/>
      <c r="K84" s="296"/>
      <c r="L84" s="296"/>
      <c r="M84" s="499"/>
      <c r="N84" s="499"/>
      <c r="O84" s="499"/>
      <c r="P84" s="499">
        <f t="shared" si="25"/>
        <v>107</v>
      </c>
      <c r="Q84" s="499">
        <f t="shared" si="25"/>
        <v>0</v>
      </c>
      <c r="R84" s="499">
        <f t="shared" si="25"/>
        <v>107</v>
      </c>
      <c r="S84" s="499">
        <v>107</v>
      </c>
      <c r="T84" s="499">
        <v>0</v>
      </c>
      <c r="U84" s="499">
        <f t="shared" si="23"/>
        <v>107</v>
      </c>
      <c r="V84" s="499"/>
      <c r="W84" s="499"/>
      <c r="X84" s="499"/>
      <c r="Y84" s="499">
        <v>107</v>
      </c>
      <c r="Z84" s="499">
        <v>0</v>
      </c>
      <c r="AA84" s="499">
        <v>107</v>
      </c>
      <c r="AB84" s="499">
        <f t="shared" si="21"/>
        <v>0</v>
      </c>
      <c r="AC84" s="499">
        <f t="shared" si="21"/>
        <v>0</v>
      </c>
      <c r="AD84" s="499">
        <f t="shared" si="21"/>
        <v>0</v>
      </c>
      <c r="AE84" s="499">
        <v>107</v>
      </c>
      <c r="AF84" s="499">
        <v>0</v>
      </c>
      <c r="AG84" s="499">
        <v>107</v>
      </c>
      <c r="AH84" s="299"/>
      <c r="AI84" s="296"/>
      <c r="AJ84" s="499"/>
      <c r="AK84" s="298"/>
      <c r="AL84" s="298"/>
      <c r="AM84" s="298"/>
      <c r="AN84" s="298"/>
      <c r="AO84" s="298"/>
      <c r="AP84" s="298"/>
      <c r="AQ84" s="298"/>
      <c r="AR84" s="298"/>
      <c r="AS84" s="298"/>
      <c r="AT84" s="298"/>
      <c r="AU84" s="298"/>
      <c r="AV84" s="298"/>
      <c r="AW84" s="298"/>
      <c r="AX84" s="298"/>
      <c r="AY84" s="298"/>
      <c r="AZ84" s="298"/>
      <c r="BA84" s="298"/>
      <c r="BB84" s="298"/>
      <c r="BC84" s="499"/>
      <c r="BD84" s="499"/>
      <c r="BE84" s="499"/>
      <c r="BF84" s="298"/>
      <c r="BG84" s="298"/>
      <c r="BH84" s="298"/>
      <c r="BI84" s="712"/>
      <c r="BJ84" s="712"/>
      <c r="BK84" s="712"/>
      <c r="BL84" s="714"/>
      <c r="BM84" s="712"/>
      <c r="BN84" s="712"/>
      <c r="BO84" s="712"/>
      <c r="BP84" s="714"/>
      <c r="BQ84" s="714"/>
      <c r="BR84" s="712"/>
      <c r="BS84" s="712"/>
      <c r="BT84" s="712"/>
      <c r="BU84" s="714"/>
      <c r="BV84" s="714"/>
      <c r="BW84" s="712"/>
      <c r="BX84" s="712"/>
      <c r="BY84" s="714"/>
      <c r="BZ84" s="714"/>
      <c r="CA84" s="712"/>
      <c r="CB84" s="297">
        <v>107400</v>
      </c>
      <c r="CC84" s="297">
        <v>107</v>
      </c>
      <c r="CD84" s="712"/>
    </row>
    <row r="85" spans="1:82" ht="22.5" x14ac:dyDescent="0.2">
      <c r="A85" s="703"/>
      <c r="B85" s="292" t="s">
        <v>1384</v>
      </c>
      <c r="C85" s="293" t="s">
        <v>1392</v>
      </c>
      <c r="D85" s="314"/>
      <c r="E85" s="703"/>
      <c r="F85" s="294" t="s">
        <v>1393</v>
      </c>
      <c r="G85" s="296"/>
      <c r="H85" s="296"/>
      <c r="I85" s="296"/>
      <c r="J85" s="296"/>
      <c r="K85" s="296"/>
      <c r="L85" s="296"/>
      <c r="M85" s="499"/>
      <c r="N85" s="499"/>
      <c r="O85" s="499"/>
      <c r="P85" s="499"/>
      <c r="Q85" s="499"/>
      <c r="R85" s="499"/>
      <c r="S85" s="499"/>
      <c r="T85" s="499"/>
      <c r="U85" s="499"/>
      <c r="V85" s="499"/>
      <c r="W85" s="499"/>
      <c r="X85" s="499"/>
      <c r="Y85" s="499"/>
      <c r="Z85" s="499"/>
      <c r="AA85" s="499"/>
      <c r="AB85" s="499">
        <f t="shared" si="21"/>
        <v>865</v>
      </c>
      <c r="AC85" s="499">
        <f t="shared" si="21"/>
        <v>0</v>
      </c>
      <c r="AD85" s="499">
        <f t="shared" si="21"/>
        <v>865</v>
      </c>
      <c r="AE85" s="499">
        <v>865</v>
      </c>
      <c r="AF85" s="499">
        <v>0</v>
      </c>
      <c r="AG85" s="499">
        <f>SUM(AE85:AF85)</f>
        <v>865</v>
      </c>
      <c r="AH85" s="299"/>
      <c r="AI85" s="296"/>
      <c r="AJ85" s="499"/>
      <c r="AK85" s="298"/>
      <c r="AL85" s="298"/>
      <c r="AM85" s="298"/>
      <c r="AN85" s="298"/>
      <c r="AO85" s="298"/>
      <c r="AP85" s="298"/>
      <c r="AQ85" s="298"/>
      <c r="AR85" s="298"/>
      <c r="AS85" s="298"/>
      <c r="AT85" s="298"/>
      <c r="AU85" s="298"/>
      <c r="AV85" s="298"/>
      <c r="AW85" s="298"/>
      <c r="AX85" s="298"/>
      <c r="AY85" s="298"/>
      <c r="AZ85" s="298"/>
      <c r="BA85" s="298"/>
      <c r="BB85" s="298"/>
      <c r="BC85" s="499"/>
      <c r="BD85" s="499"/>
      <c r="BE85" s="499"/>
      <c r="BF85" s="298"/>
      <c r="BG85" s="298"/>
      <c r="BH85" s="298"/>
      <c r="BI85" s="712"/>
      <c r="BJ85" s="712"/>
      <c r="BK85" s="712"/>
      <c r="BL85" s="714"/>
      <c r="BM85" s="712"/>
      <c r="BN85" s="712"/>
      <c r="BO85" s="712"/>
      <c r="BP85" s="714"/>
      <c r="BQ85" s="714"/>
      <c r="BR85" s="712"/>
      <c r="BS85" s="712"/>
      <c r="BT85" s="712"/>
      <c r="BU85" s="714"/>
      <c r="BV85" s="714"/>
      <c r="BW85" s="712"/>
      <c r="BX85" s="712"/>
      <c r="BY85" s="714"/>
      <c r="BZ85" s="714"/>
      <c r="CA85" s="712"/>
      <c r="CB85" s="297">
        <v>864300</v>
      </c>
      <c r="CC85" s="297">
        <v>864</v>
      </c>
      <c r="CD85" s="712"/>
    </row>
    <row r="86" spans="1:82" ht="22.5" x14ac:dyDescent="0.2">
      <c r="A86" s="703"/>
      <c r="B86" s="292" t="s">
        <v>1384</v>
      </c>
      <c r="C86" s="293" t="s">
        <v>1394</v>
      </c>
      <c r="D86" s="314"/>
      <c r="E86" s="703"/>
      <c r="F86" s="294" t="s">
        <v>1395</v>
      </c>
      <c r="G86" s="296"/>
      <c r="H86" s="296"/>
      <c r="I86" s="296"/>
      <c r="J86" s="296"/>
      <c r="K86" s="296"/>
      <c r="L86" s="296"/>
      <c r="M86" s="499"/>
      <c r="N86" s="499"/>
      <c r="O86" s="499"/>
      <c r="P86" s="499"/>
      <c r="Q86" s="499"/>
      <c r="R86" s="499"/>
      <c r="S86" s="499"/>
      <c r="T86" s="499"/>
      <c r="U86" s="499"/>
      <c r="V86" s="499"/>
      <c r="W86" s="499"/>
      <c r="X86" s="499"/>
      <c r="Y86" s="499"/>
      <c r="Z86" s="499"/>
      <c r="AA86" s="499"/>
      <c r="AB86" s="499">
        <f t="shared" si="21"/>
        <v>1365</v>
      </c>
      <c r="AC86" s="499">
        <f t="shared" si="21"/>
        <v>0</v>
      </c>
      <c r="AD86" s="499">
        <f t="shared" si="21"/>
        <v>1365</v>
      </c>
      <c r="AE86" s="499">
        <v>1365</v>
      </c>
      <c r="AF86" s="499">
        <v>0</v>
      </c>
      <c r="AG86" s="499">
        <f>SUM(AE86:AF86)</f>
        <v>1365</v>
      </c>
      <c r="AH86" s="299"/>
      <c r="AI86" s="296"/>
      <c r="AJ86" s="499"/>
      <c r="AK86" s="298"/>
      <c r="AL86" s="298"/>
      <c r="AM86" s="298"/>
      <c r="AN86" s="298"/>
      <c r="AO86" s="298"/>
      <c r="AP86" s="298"/>
      <c r="AQ86" s="298"/>
      <c r="AR86" s="298"/>
      <c r="AS86" s="298"/>
      <c r="AT86" s="298"/>
      <c r="AU86" s="298"/>
      <c r="AV86" s="298"/>
      <c r="AW86" s="298"/>
      <c r="AX86" s="298"/>
      <c r="AY86" s="298"/>
      <c r="AZ86" s="298"/>
      <c r="BA86" s="298"/>
      <c r="BB86" s="298"/>
      <c r="BC86" s="499"/>
      <c r="BD86" s="499"/>
      <c r="BE86" s="499"/>
      <c r="BF86" s="298"/>
      <c r="BG86" s="298"/>
      <c r="BH86" s="298"/>
      <c r="BI86" s="712"/>
      <c r="BJ86" s="712"/>
      <c r="BK86" s="712"/>
      <c r="BL86" s="714"/>
      <c r="BM86" s="712"/>
      <c r="BN86" s="712"/>
      <c r="BO86" s="712"/>
      <c r="BP86" s="714"/>
      <c r="BQ86" s="714"/>
      <c r="BR86" s="712"/>
      <c r="BS86" s="712"/>
      <c r="BT86" s="712"/>
      <c r="BU86" s="714"/>
      <c r="BV86" s="714"/>
      <c r="BW86" s="712"/>
      <c r="BX86" s="712"/>
      <c r="BY86" s="714"/>
      <c r="BZ86" s="714"/>
      <c r="CA86" s="712"/>
      <c r="CB86" s="297">
        <v>1365300</v>
      </c>
      <c r="CC86" s="297">
        <v>1365</v>
      </c>
      <c r="CD86" s="712"/>
    </row>
    <row r="87" spans="1:82" ht="22.5" x14ac:dyDescent="0.2">
      <c r="A87" s="703"/>
      <c r="B87" s="292" t="s">
        <v>1384</v>
      </c>
      <c r="C87" s="293" t="s">
        <v>1396</v>
      </c>
      <c r="D87" s="314"/>
      <c r="E87" s="703"/>
      <c r="F87" s="294" t="s">
        <v>1397</v>
      </c>
      <c r="G87" s="296"/>
      <c r="H87" s="296"/>
      <c r="I87" s="296"/>
      <c r="J87" s="296"/>
      <c r="K87" s="296"/>
      <c r="L87" s="296"/>
      <c r="M87" s="499"/>
      <c r="N87" s="499"/>
      <c r="O87" s="499"/>
      <c r="P87" s="499"/>
      <c r="Q87" s="499"/>
      <c r="R87" s="499"/>
      <c r="S87" s="499"/>
      <c r="T87" s="499"/>
      <c r="U87" s="499"/>
      <c r="V87" s="499"/>
      <c r="W87" s="499"/>
      <c r="X87" s="499"/>
      <c r="Y87" s="499"/>
      <c r="Z87" s="499"/>
      <c r="AA87" s="499"/>
      <c r="AB87" s="499">
        <f t="shared" ref="AB87:AD102" si="26">AE87-S87</f>
        <v>69</v>
      </c>
      <c r="AC87" s="499">
        <f t="shared" si="26"/>
        <v>0</v>
      </c>
      <c r="AD87" s="499">
        <f t="shared" si="26"/>
        <v>69</v>
      </c>
      <c r="AE87" s="499">
        <v>69</v>
      </c>
      <c r="AF87" s="499"/>
      <c r="AG87" s="499">
        <f t="shared" ref="AG87:AG88" si="27">SUM(AE87:AF87)</f>
        <v>69</v>
      </c>
      <c r="AH87" s="299"/>
      <c r="AI87" s="296"/>
      <c r="AJ87" s="499"/>
      <c r="AK87" s="298"/>
      <c r="AL87" s="298"/>
      <c r="AM87" s="298"/>
      <c r="AN87" s="298"/>
      <c r="AO87" s="298"/>
      <c r="AP87" s="298"/>
      <c r="AQ87" s="298"/>
      <c r="AR87" s="298"/>
      <c r="AS87" s="298"/>
      <c r="AT87" s="298"/>
      <c r="AU87" s="298"/>
      <c r="AV87" s="298"/>
      <c r="AW87" s="298"/>
      <c r="AX87" s="298"/>
      <c r="AY87" s="298"/>
      <c r="AZ87" s="298"/>
      <c r="BA87" s="298"/>
      <c r="BB87" s="298"/>
      <c r="BC87" s="499"/>
      <c r="BD87" s="499"/>
      <c r="BE87" s="499"/>
      <c r="BF87" s="298"/>
      <c r="BG87" s="298"/>
      <c r="BH87" s="298"/>
      <c r="BI87" s="712"/>
      <c r="BJ87" s="712"/>
      <c r="BK87" s="712"/>
      <c r="BL87" s="714"/>
      <c r="BM87" s="712"/>
      <c r="BN87" s="712"/>
      <c r="BO87" s="712"/>
      <c r="BP87" s="714"/>
      <c r="BQ87" s="714"/>
      <c r="BR87" s="712"/>
      <c r="BS87" s="712"/>
      <c r="BT87" s="712"/>
      <c r="BU87" s="714"/>
      <c r="BV87" s="714"/>
      <c r="BW87" s="712"/>
      <c r="BX87" s="712"/>
      <c r="BY87" s="714"/>
      <c r="BZ87" s="714"/>
      <c r="CA87" s="712"/>
      <c r="CB87" s="297">
        <v>69000</v>
      </c>
      <c r="CC87" s="297">
        <v>69</v>
      </c>
      <c r="CD87" s="712"/>
    </row>
    <row r="88" spans="1:82" ht="22.5" x14ac:dyDescent="0.2">
      <c r="A88" s="703"/>
      <c r="B88" s="292" t="s">
        <v>1384</v>
      </c>
      <c r="C88" s="293" t="s">
        <v>1398</v>
      </c>
      <c r="D88" s="314"/>
      <c r="E88" s="703"/>
      <c r="F88" s="294" t="s">
        <v>1399</v>
      </c>
      <c r="G88" s="296"/>
      <c r="H88" s="296"/>
      <c r="I88" s="296"/>
      <c r="J88" s="296"/>
      <c r="K88" s="296"/>
      <c r="L88" s="296"/>
      <c r="M88" s="499"/>
      <c r="N88" s="499"/>
      <c r="O88" s="499"/>
      <c r="P88" s="499"/>
      <c r="Q88" s="499"/>
      <c r="R88" s="499"/>
      <c r="S88" s="499"/>
      <c r="T88" s="499"/>
      <c r="U88" s="499"/>
      <c r="V88" s="499"/>
      <c r="W88" s="499"/>
      <c r="X88" s="499"/>
      <c r="Y88" s="499"/>
      <c r="Z88" s="499"/>
      <c r="AA88" s="499"/>
      <c r="AB88" s="499">
        <f t="shared" si="26"/>
        <v>271</v>
      </c>
      <c r="AC88" s="499">
        <f t="shared" si="26"/>
        <v>0</v>
      </c>
      <c r="AD88" s="499">
        <f t="shared" si="26"/>
        <v>271</v>
      </c>
      <c r="AE88" s="499">
        <v>271</v>
      </c>
      <c r="AF88" s="499"/>
      <c r="AG88" s="499">
        <f t="shared" si="27"/>
        <v>271</v>
      </c>
      <c r="AH88" s="299"/>
      <c r="AI88" s="296"/>
      <c r="AJ88" s="499"/>
      <c r="AK88" s="298"/>
      <c r="AL88" s="298"/>
      <c r="AM88" s="298"/>
      <c r="AN88" s="298"/>
      <c r="AO88" s="298"/>
      <c r="AP88" s="298"/>
      <c r="AQ88" s="298"/>
      <c r="AR88" s="298"/>
      <c r="AS88" s="298"/>
      <c r="AT88" s="298"/>
      <c r="AU88" s="298"/>
      <c r="AV88" s="298"/>
      <c r="AW88" s="298"/>
      <c r="AX88" s="298"/>
      <c r="AY88" s="298"/>
      <c r="AZ88" s="298"/>
      <c r="BA88" s="298"/>
      <c r="BB88" s="298"/>
      <c r="BC88" s="499"/>
      <c r="BD88" s="499"/>
      <c r="BE88" s="499"/>
      <c r="BF88" s="298"/>
      <c r="BG88" s="298"/>
      <c r="BH88" s="298"/>
      <c r="BI88" s="712"/>
      <c r="BJ88" s="712"/>
      <c r="BK88" s="712"/>
      <c r="BL88" s="714"/>
      <c r="BM88" s="712"/>
      <c r="BN88" s="712"/>
      <c r="BO88" s="712"/>
      <c r="BP88" s="714"/>
      <c r="BQ88" s="714"/>
      <c r="BR88" s="712"/>
      <c r="BS88" s="712"/>
      <c r="BT88" s="712"/>
      <c r="BU88" s="714"/>
      <c r="BV88" s="714"/>
      <c r="BW88" s="712"/>
      <c r="BX88" s="712"/>
      <c r="BY88" s="714"/>
      <c r="BZ88" s="714"/>
      <c r="CA88" s="712"/>
      <c r="CB88" s="297">
        <v>270600</v>
      </c>
      <c r="CC88" s="297">
        <v>271</v>
      </c>
      <c r="CD88" s="712"/>
    </row>
    <row r="89" spans="1:82" ht="22.5" x14ac:dyDescent="0.2">
      <c r="A89" s="703"/>
      <c r="B89" s="292" t="s">
        <v>1384</v>
      </c>
      <c r="C89" s="293" t="s">
        <v>706</v>
      </c>
      <c r="D89" s="303" t="s">
        <v>641</v>
      </c>
      <c r="E89" s="703"/>
      <c r="F89" s="294" t="s">
        <v>1400</v>
      </c>
      <c r="G89" s="296"/>
      <c r="H89" s="296"/>
      <c r="I89" s="296"/>
      <c r="J89" s="296">
        <f t="shared" ref="J89:L101" si="28">M89-G89</f>
        <v>34000</v>
      </c>
      <c r="K89" s="296">
        <f t="shared" si="28"/>
        <v>0</v>
      </c>
      <c r="L89" s="296">
        <f t="shared" si="28"/>
        <v>0</v>
      </c>
      <c r="M89" s="296">
        <v>34000</v>
      </c>
      <c r="N89" s="296">
        <v>0</v>
      </c>
      <c r="O89" s="499"/>
      <c r="P89" s="499"/>
      <c r="Q89" s="499"/>
      <c r="R89" s="499"/>
      <c r="S89" s="499"/>
      <c r="T89" s="499"/>
      <c r="U89" s="499"/>
      <c r="V89" s="499"/>
      <c r="W89" s="499"/>
      <c r="X89" s="499"/>
      <c r="Y89" s="499"/>
      <c r="Z89" s="499"/>
      <c r="AA89" s="499"/>
      <c r="AB89" s="499">
        <f t="shared" si="26"/>
        <v>34000</v>
      </c>
      <c r="AC89" s="499">
        <f t="shared" si="26"/>
        <v>0</v>
      </c>
      <c r="AD89" s="499">
        <f t="shared" si="26"/>
        <v>34000</v>
      </c>
      <c r="AE89" s="499">
        <v>34000</v>
      </c>
      <c r="AF89" s="499">
        <v>0</v>
      </c>
      <c r="AG89" s="499">
        <v>34000</v>
      </c>
      <c r="AH89" s="299"/>
      <c r="AI89" s="296"/>
      <c r="AJ89" s="298"/>
      <c r="AK89" s="298"/>
      <c r="AL89" s="298"/>
      <c r="AM89" s="298"/>
      <c r="AN89" s="298"/>
      <c r="AO89" s="298"/>
      <c r="AP89" s="298"/>
      <c r="AQ89" s="298"/>
      <c r="AR89" s="298"/>
      <c r="AS89" s="298"/>
      <c r="AT89" s="298"/>
      <c r="AU89" s="298"/>
      <c r="AV89" s="298"/>
      <c r="AW89" s="298"/>
      <c r="AX89" s="298"/>
      <c r="AY89" s="298"/>
      <c r="AZ89" s="298"/>
      <c r="BA89" s="298"/>
      <c r="BB89" s="298"/>
      <c r="BC89" s="499"/>
      <c r="BD89" s="499"/>
      <c r="BE89" s="499"/>
      <c r="BF89" s="298"/>
      <c r="BG89" s="298"/>
      <c r="BH89" s="298"/>
      <c r="BI89" s="712"/>
      <c r="BJ89" s="712"/>
      <c r="BK89" s="712"/>
      <c r="BL89" s="714"/>
      <c r="BM89" s="712"/>
      <c r="BN89" s="712"/>
      <c r="BO89" s="712"/>
      <c r="BP89" s="714"/>
      <c r="BQ89" s="714"/>
      <c r="BR89" s="712"/>
      <c r="BS89" s="712"/>
      <c r="BT89" s="712"/>
      <c r="BU89" s="714"/>
      <c r="BV89" s="714"/>
      <c r="BW89" s="712"/>
      <c r="BX89" s="712"/>
      <c r="BY89" s="714"/>
      <c r="BZ89" s="714"/>
      <c r="CA89" s="712"/>
      <c r="CB89" s="297">
        <v>34000000</v>
      </c>
      <c r="CC89" s="297">
        <v>34000</v>
      </c>
      <c r="CD89" s="712"/>
    </row>
    <row r="90" spans="1:82" ht="22.5" x14ac:dyDescent="0.2">
      <c r="A90" s="703"/>
      <c r="B90" s="292" t="s">
        <v>1384</v>
      </c>
      <c r="C90" s="293" t="s">
        <v>1143</v>
      </c>
      <c r="D90" s="512"/>
      <c r="E90" s="702" t="s">
        <v>705</v>
      </c>
      <c r="F90" s="294" t="s">
        <v>1401</v>
      </c>
      <c r="G90" s="516">
        <v>500000</v>
      </c>
      <c r="H90" s="516"/>
      <c r="I90" s="516">
        <f>SUM(G90:H90)</f>
        <v>500000</v>
      </c>
      <c r="J90" s="516">
        <f t="shared" si="28"/>
        <v>-500000</v>
      </c>
      <c r="K90" s="516">
        <f t="shared" si="28"/>
        <v>0</v>
      </c>
      <c r="L90" s="516">
        <f t="shared" si="28"/>
        <v>-500000</v>
      </c>
      <c r="M90" s="296">
        <v>0</v>
      </c>
      <c r="N90" s="296">
        <v>0</v>
      </c>
      <c r="O90" s="296">
        <f t="shared" ref="O90:O97" si="29">SUM(M90:N90)</f>
        <v>0</v>
      </c>
      <c r="P90" s="499">
        <f t="shared" ref="P90:R139" si="30">S90-M90</f>
        <v>0</v>
      </c>
      <c r="Q90" s="499">
        <f t="shared" si="30"/>
        <v>0</v>
      </c>
      <c r="R90" s="499">
        <f t="shared" si="30"/>
        <v>0</v>
      </c>
      <c r="S90" s="499">
        <v>0</v>
      </c>
      <c r="T90" s="499">
        <v>0</v>
      </c>
      <c r="U90" s="499">
        <f t="shared" ref="U90:U97" si="31">SUM(S90:T90)</f>
        <v>0</v>
      </c>
      <c r="V90" s="499"/>
      <c r="W90" s="499"/>
      <c r="X90" s="499"/>
      <c r="Y90" s="499">
        <v>0</v>
      </c>
      <c r="Z90" s="499">
        <v>0</v>
      </c>
      <c r="AA90" s="499">
        <v>0</v>
      </c>
      <c r="AB90" s="499">
        <f t="shared" si="26"/>
        <v>0</v>
      </c>
      <c r="AC90" s="499">
        <f t="shared" si="26"/>
        <v>0</v>
      </c>
      <c r="AD90" s="499">
        <f t="shared" si="26"/>
        <v>0</v>
      </c>
      <c r="AE90" s="499">
        <v>0</v>
      </c>
      <c r="AF90" s="499">
        <v>0</v>
      </c>
      <c r="AG90" s="499">
        <v>0</v>
      </c>
      <c r="AH90" s="299"/>
      <c r="AI90" s="296"/>
      <c r="AJ90" s="298"/>
      <c r="AK90" s="298"/>
      <c r="AL90" s="298"/>
      <c r="AM90" s="298"/>
      <c r="AN90" s="298"/>
      <c r="AO90" s="298"/>
      <c r="AP90" s="298"/>
      <c r="AQ90" s="298"/>
      <c r="AR90" s="298"/>
      <c r="AS90" s="298"/>
      <c r="AT90" s="298"/>
      <c r="AU90" s="298"/>
      <c r="AV90" s="298"/>
      <c r="AW90" s="298"/>
      <c r="AX90" s="298"/>
      <c r="AY90" s="298"/>
      <c r="AZ90" s="298"/>
      <c r="BA90" s="298"/>
      <c r="BB90" s="298"/>
      <c r="BC90" s="499"/>
      <c r="BD90" s="499"/>
      <c r="BE90" s="499"/>
      <c r="BF90" s="298"/>
      <c r="BG90" s="298"/>
      <c r="BH90" s="298"/>
      <c r="BI90" s="712"/>
      <c r="BJ90" s="712"/>
      <c r="BK90" s="712"/>
      <c r="BL90" s="714"/>
      <c r="BM90" s="712"/>
      <c r="BN90" s="712"/>
      <c r="BO90" s="712"/>
      <c r="BP90" s="714"/>
      <c r="BQ90" s="714"/>
      <c r="BR90" s="712"/>
      <c r="BS90" s="712"/>
      <c r="BT90" s="712"/>
      <c r="BU90" s="714"/>
      <c r="BV90" s="714"/>
      <c r="BW90" s="712"/>
      <c r="BX90" s="712"/>
      <c r="BY90" s="714"/>
      <c r="BZ90" s="714"/>
      <c r="CA90" s="712"/>
      <c r="CB90" s="297">
        <v>0</v>
      </c>
      <c r="CC90" s="297">
        <v>0</v>
      </c>
      <c r="CD90" s="712"/>
    </row>
    <row r="91" spans="1:82" ht="22.5" x14ac:dyDescent="0.2">
      <c r="A91" s="703"/>
      <c r="B91" s="292" t="s">
        <v>1384</v>
      </c>
      <c r="C91" s="293" t="s">
        <v>706</v>
      </c>
      <c r="D91" s="303" t="s">
        <v>641</v>
      </c>
      <c r="E91" s="703"/>
      <c r="F91" s="294" t="s">
        <v>1400</v>
      </c>
      <c r="G91" s="296"/>
      <c r="H91" s="296"/>
      <c r="I91" s="296"/>
      <c r="J91" s="296">
        <f t="shared" si="28"/>
        <v>34000</v>
      </c>
      <c r="K91" s="296">
        <f t="shared" si="28"/>
        <v>0</v>
      </c>
      <c r="L91" s="296">
        <f t="shared" si="28"/>
        <v>34000</v>
      </c>
      <c r="M91" s="296">
        <v>34000</v>
      </c>
      <c r="N91" s="296">
        <v>0</v>
      </c>
      <c r="O91" s="499">
        <f t="shared" si="29"/>
        <v>34000</v>
      </c>
      <c r="P91" s="499">
        <f t="shared" si="30"/>
        <v>0</v>
      </c>
      <c r="Q91" s="499">
        <f t="shared" si="30"/>
        <v>0</v>
      </c>
      <c r="R91" s="499">
        <f t="shared" si="30"/>
        <v>0</v>
      </c>
      <c r="S91" s="499">
        <v>34000</v>
      </c>
      <c r="T91" s="499">
        <v>0</v>
      </c>
      <c r="U91" s="499">
        <f t="shared" si="31"/>
        <v>34000</v>
      </c>
      <c r="V91" s="499"/>
      <c r="W91" s="499"/>
      <c r="X91" s="499"/>
      <c r="Y91" s="499">
        <v>34000</v>
      </c>
      <c r="Z91" s="499">
        <v>0</v>
      </c>
      <c r="AA91" s="499">
        <v>34000</v>
      </c>
      <c r="AB91" s="499">
        <f t="shared" si="26"/>
        <v>-34000</v>
      </c>
      <c r="AC91" s="499">
        <f t="shared" si="26"/>
        <v>0</v>
      </c>
      <c r="AD91" s="499">
        <f t="shared" si="26"/>
        <v>-34000</v>
      </c>
      <c r="AE91" s="499">
        <v>0</v>
      </c>
      <c r="AF91" s="499">
        <v>0</v>
      </c>
      <c r="AG91" s="499">
        <v>0</v>
      </c>
      <c r="AH91" s="299"/>
      <c r="AI91" s="296"/>
      <c r="AJ91" s="298"/>
      <c r="AK91" s="298"/>
      <c r="AL91" s="298"/>
      <c r="AM91" s="298"/>
      <c r="AN91" s="298"/>
      <c r="AO91" s="298"/>
      <c r="AP91" s="298"/>
      <c r="AQ91" s="298"/>
      <c r="AR91" s="298"/>
      <c r="AS91" s="298"/>
      <c r="AT91" s="298"/>
      <c r="AU91" s="298"/>
      <c r="AV91" s="298"/>
      <c r="AW91" s="298"/>
      <c r="AX91" s="298"/>
      <c r="AY91" s="298"/>
      <c r="AZ91" s="298"/>
      <c r="BA91" s="298"/>
      <c r="BB91" s="298"/>
      <c r="BC91" s="499"/>
      <c r="BD91" s="499"/>
      <c r="BE91" s="499"/>
      <c r="BF91" s="298"/>
      <c r="BG91" s="298"/>
      <c r="BH91" s="298"/>
      <c r="BI91" s="712"/>
      <c r="BJ91" s="712"/>
      <c r="BK91" s="712"/>
      <c r="BL91" s="714"/>
      <c r="BM91" s="712"/>
      <c r="BN91" s="712"/>
      <c r="BO91" s="712"/>
      <c r="BP91" s="714"/>
      <c r="BQ91" s="714"/>
      <c r="BR91" s="712"/>
      <c r="BS91" s="712"/>
      <c r="BT91" s="712"/>
      <c r="BU91" s="714"/>
      <c r="BV91" s="714"/>
      <c r="BW91" s="712"/>
      <c r="BX91" s="712"/>
      <c r="BY91" s="714"/>
      <c r="BZ91" s="714"/>
      <c r="CA91" s="712"/>
      <c r="CB91" s="297">
        <v>0</v>
      </c>
      <c r="CC91" s="297">
        <v>0</v>
      </c>
      <c r="CD91" s="712"/>
    </row>
    <row r="92" spans="1:82" x14ac:dyDescent="0.2">
      <c r="A92" s="703"/>
      <c r="B92" s="292" t="s">
        <v>1402</v>
      </c>
      <c r="C92" s="293" t="s">
        <v>707</v>
      </c>
      <c r="D92" s="551"/>
      <c r="E92" s="703"/>
      <c r="F92" s="294" t="s">
        <v>1403</v>
      </c>
      <c r="G92" s="296"/>
      <c r="H92" s="296"/>
      <c r="I92" s="296"/>
      <c r="J92" s="499">
        <f t="shared" si="28"/>
        <v>29500</v>
      </c>
      <c r="K92" s="499">
        <f t="shared" si="28"/>
        <v>0</v>
      </c>
      <c r="L92" s="499">
        <f t="shared" si="28"/>
        <v>29500</v>
      </c>
      <c r="M92" s="499">
        <v>29500</v>
      </c>
      <c r="N92" s="499">
        <v>0</v>
      </c>
      <c r="O92" s="499">
        <f t="shared" si="29"/>
        <v>29500</v>
      </c>
      <c r="P92" s="499">
        <f t="shared" si="30"/>
        <v>0</v>
      </c>
      <c r="Q92" s="499">
        <f t="shared" si="30"/>
        <v>0</v>
      </c>
      <c r="R92" s="499">
        <f t="shared" si="30"/>
        <v>0</v>
      </c>
      <c r="S92" s="499">
        <v>29500</v>
      </c>
      <c r="T92" s="499">
        <v>0</v>
      </c>
      <c r="U92" s="499">
        <f t="shared" si="31"/>
        <v>29500</v>
      </c>
      <c r="V92" s="499"/>
      <c r="W92" s="499"/>
      <c r="X92" s="499"/>
      <c r="Y92" s="499">
        <v>29500</v>
      </c>
      <c r="Z92" s="499">
        <v>0</v>
      </c>
      <c r="AA92" s="499">
        <v>29500</v>
      </c>
      <c r="AB92" s="499">
        <f t="shared" si="26"/>
        <v>0</v>
      </c>
      <c r="AC92" s="499">
        <f t="shared" si="26"/>
        <v>0</v>
      </c>
      <c r="AD92" s="499">
        <f t="shared" si="26"/>
        <v>0</v>
      </c>
      <c r="AE92" s="499">
        <v>29500</v>
      </c>
      <c r="AF92" s="499">
        <v>0</v>
      </c>
      <c r="AG92" s="499">
        <v>29500</v>
      </c>
      <c r="AH92" s="299"/>
      <c r="AI92" s="296"/>
      <c r="AJ92" s="298"/>
      <c r="AK92" s="298"/>
      <c r="AL92" s="298"/>
      <c r="AM92" s="298"/>
      <c r="AN92" s="298"/>
      <c r="AO92" s="298"/>
      <c r="AP92" s="298"/>
      <c r="AQ92" s="298"/>
      <c r="AR92" s="298"/>
      <c r="AS92" s="298"/>
      <c r="AT92" s="298"/>
      <c r="AU92" s="298"/>
      <c r="AV92" s="298"/>
      <c r="AW92" s="298"/>
      <c r="AX92" s="298"/>
      <c r="AY92" s="298"/>
      <c r="AZ92" s="298"/>
      <c r="BA92" s="298"/>
      <c r="BB92" s="298"/>
      <c r="BC92" s="499"/>
      <c r="BD92" s="499"/>
      <c r="BE92" s="499"/>
      <c r="BF92" s="298"/>
      <c r="BG92" s="298"/>
      <c r="BH92" s="298"/>
      <c r="BI92" s="712"/>
      <c r="BJ92" s="712"/>
      <c r="BK92" s="712"/>
      <c r="BL92" s="714"/>
      <c r="BM92" s="712"/>
      <c r="BN92" s="712"/>
      <c r="BO92" s="712"/>
      <c r="BP92" s="714"/>
      <c r="BQ92" s="714"/>
      <c r="BR92" s="712"/>
      <c r="BS92" s="712"/>
      <c r="BT92" s="712"/>
      <c r="BU92" s="714"/>
      <c r="BV92" s="714"/>
      <c r="BW92" s="712"/>
      <c r="BX92" s="712"/>
      <c r="BY92" s="714"/>
      <c r="BZ92" s="714"/>
      <c r="CA92" s="712"/>
      <c r="CB92" s="297">
        <v>29500000</v>
      </c>
      <c r="CC92" s="297">
        <v>29500</v>
      </c>
      <c r="CD92" s="712"/>
    </row>
    <row r="93" spans="1:82" ht="22.5" x14ac:dyDescent="0.2">
      <c r="A93" s="703"/>
      <c r="B93" s="292" t="s">
        <v>1402</v>
      </c>
      <c r="C93" s="293" t="s">
        <v>708</v>
      </c>
      <c r="D93" s="551"/>
      <c r="E93" s="703"/>
      <c r="F93" s="294" t="s">
        <v>709</v>
      </c>
      <c r="G93" s="296"/>
      <c r="H93" s="296"/>
      <c r="I93" s="296"/>
      <c r="J93" s="499">
        <f t="shared" si="28"/>
        <v>30000</v>
      </c>
      <c r="K93" s="499">
        <f t="shared" si="28"/>
        <v>0</v>
      </c>
      <c r="L93" s="499">
        <f t="shared" si="28"/>
        <v>30000</v>
      </c>
      <c r="M93" s="499">
        <v>30000</v>
      </c>
      <c r="N93" s="499">
        <v>0</v>
      </c>
      <c r="O93" s="499">
        <f t="shared" si="29"/>
        <v>30000</v>
      </c>
      <c r="P93" s="499">
        <f t="shared" si="30"/>
        <v>0</v>
      </c>
      <c r="Q93" s="499">
        <f t="shared" si="30"/>
        <v>0</v>
      </c>
      <c r="R93" s="499">
        <f t="shared" si="30"/>
        <v>0</v>
      </c>
      <c r="S93" s="499">
        <v>30000</v>
      </c>
      <c r="T93" s="499">
        <v>0</v>
      </c>
      <c r="U93" s="499">
        <f t="shared" si="31"/>
        <v>30000</v>
      </c>
      <c r="V93" s="499"/>
      <c r="W93" s="499"/>
      <c r="X93" s="499"/>
      <c r="Y93" s="499">
        <v>30000</v>
      </c>
      <c r="Z93" s="499">
        <v>0</v>
      </c>
      <c r="AA93" s="499">
        <v>30000</v>
      </c>
      <c r="AB93" s="499">
        <f t="shared" si="26"/>
        <v>0</v>
      </c>
      <c r="AC93" s="499">
        <f t="shared" si="26"/>
        <v>0</v>
      </c>
      <c r="AD93" s="499">
        <f t="shared" si="26"/>
        <v>0</v>
      </c>
      <c r="AE93" s="499">
        <v>30000</v>
      </c>
      <c r="AF93" s="499">
        <v>0</v>
      </c>
      <c r="AG93" s="499">
        <v>30000</v>
      </c>
      <c r="AH93" s="299"/>
      <c r="AI93" s="296"/>
      <c r="AJ93" s="298"/>
      <c r="AK93" s="298"/>
      <c r="AL93" s="298"/>
      <c r="AM93" s="298"/>
      <c r="AN93" s="298"/>
      <c r="AO93" s="298"/>
      <c r="AP93" s="298"/>
      <c r="AQ93" s="298"/>
      <c r="AR93" s="298"/>
      <c r="AS93" s="298"/>
      <c r="AT93" s="298"/>
      <c r="AU93" s="298"/>
      <c r="AV93" s="298"/>
      <c r="AW93" s="298"/>
      <c r="AX93" s="298"/>
      <c r="AY93" s="298"/>
      <c r="AZ93" s="298"/>
      <c r="BA93" s="298"/>
      <c r="BB93" s="298"/>
      <c r="BC93" s="499"/>
      <c r="BD93" s="499"/>
      <c r="BE93" s="499"/>
      <c r="BF93" s="298"/>
      <c r="BG93" s="298"/>
      <c r="BH93" s="298"/>
      <c r="BI93" s="712"/>
      <c r="BJ93" s="712"/>
      <c r="BK93" s="712"/>
      <c r="BL93" s="714"/>
      <c r="BM93" s="712"/>
      <c r="BN93" s="712"/>
      <c r="BO93" s="712"/>
      <c r="BP93" s="714"/>
      <c r="BQ93" s="714"/>
      <c r="BR93" s="712"/>
      <c r="BS93" s="712"/>
      <c r="BT93" s="712"/>
      <c r="BU93" s="714"/>
      <c r="BV93" s="714"/>
      <c r="BW93" s="712"/>
      <c r="BX93" s="712"/>
      <c r="BY93" s="714"/>
      <c r="BZ93" s="714"/>
      <c r="CA93" s="712"/>
      <c r="CB93" s="297">
        <v>30000000</v>
      </c>
      <c r="CC93" s="297">
        <v>30000</v>
      </c>
      <c r="CD93" s="712"/>
    </row>
    <row r="94" spans="1:82" ht="33.75" x14ac:dyDescent="0.2">
      <c r="A94" s="703"/>
      <c r="B94" s="292" t="s">
        <v>1402</v>
      </c>
      <c r="C94" s="293" t="s">
        <v>710</v>
      </c>
      <c r="D94" s="551"/>
      <c r="E94" s="703"/>
      <c r="F94" s="294" t="s">
        <v>711</v>
      </c>
      <c r="G94" s="296"/>
      <c r="H94" s="296"/>
      <c r="I94" s="296"/>
      <c r="J94" s="499">
        <f t="shared" si="28"/>
        <v>12060</v>
      </c>
      <c r="K94" s="499">
        <f t="shared" si="28"/>
        <v>0</v>
      </c>
      <c r="L94" s="499">
        <f t="shared" si="28"/>
        <v>12060</v>
      </c>
      <c r="M94" s="499">
        <v>12060</v>
      </c>
      <c r="N94" s="499">
        <v>0</v>
      </c>
      <c r="O94" s="499">
        <f t="shared" si="29"/>
        <v>12060</v>
      </c>
      <c r="P94" s="499">
        <f t="shared" si="30"/>
        <v>0</v>
      </c>
      <c r="Q94" s="499">
        <f t="shared" si="30"/>
        <v>0</v>
      </c>
      <c r="R94" s="499">
        <f t="shared" si="30"/>
        <v>0</v>
      </c>
      <c r="S94" s="499">
        <v>12060</v>
      </c>
      <c r="T94" s="499">
        <v>0</v>
      </c>
      <c r="U94" s="499">
        <f t="shared" si="31"/>
        <v>12060</v>
      </c>
      <c r="V94" s="499"/>
      <c r="W94" s="499"/>
      <c r="X94" s="499"/>
      <c r="Y94" s="499">
        <v>12060</v>
      </c>
      <c r="Z94" s="499">
        <v>0</v>
      </c>
      <c r="AA94" s="499">
        <v>12060</v>
      </c>
      <c r="AB94" s="499">
        <f t="shared" si="26"/>
        <v>0</v>
      </c>
      <c r="AC94" s="499">
        <f t="shared" si="26"/>
        <v>0</v>
      </c>
      <c r="AD94" s="499">
        <f t="shared" si="26"/>
        <v>0</v>
      </c>
      <c r="AE94" s="499">
        <v>12060</v>
      </c>
      <c r="AF94" s="499">
        <v>0</v>
      </c>
      <c r="AG94" s="499">
        <v>12060</v>
      </c>
      <c r="AH94" s="299"/>
      <c r="AI94" s="296"/>
      <c r="AJ94" s="298"/>
      <c r="AK94" s="298"/>
      <c r="AL94" s="298"/>
      <c r="AM94" s="298"/>
      <c r="AN94" s="298"/>
      <c r="AO94" s="298"/>
      <c r="AP94" s="298"/>
      <c r="AQ94" s="298"/>
      <c r="AR94" s="298"/>
      <c r="AS94" s="298"/>
      <c r="AT94" s="298"/>
      <c r="AU94" s="298"/>
      <c r="AV94" s="298"/>
      <c r="AW94" s="298"/>
      <c r="AX94" s="298"/>
      <c r="AY94" s="298"/>
      <c r="AZ94" s="298"/>
      <c r="BA94" s="298"/>
      <c r="BB94" s="298"/>
      <c r="BC94" s="499"/>
      <c r="BD94" s="499"/>
      <c r="BE94" s="499"/>
      <c r="BF94" s="298"/>
      <c r="BG94" s="298"/>
      <c r="BH94" s="298"/>
      <c r="BI94" s="712"/>
      <c r="BJ94" s="712"/>
      <c r="BK94" s="712"/>
      <c r="BL94" s="714"/>
      <c r="BM94" s="712"/>
      <c r="BN94" s="712"/>
      <c r="BO94" s="712"/>
      <c r="BP94" s="714"/>
      <c r="BQ94" s="714"/>
      <c r="BR94" s="712"/>
      <c r="BS94" s="712"/>
      <c r="BT94" s="712"/>
      <c r="BU94" s="714"/>
      <c r="BV94" s="714"/>
      <c r="BW94" s="712"/>
      <c r="BX94" s="712"/>
      <c r="BY94" s="714"/>
      <c r="BZ94" s="714"/>
      <c r="CA94" s="712"/>
      <c r="CB94" s="297">
        <v>12060000</v>
      </c>
      <c r="CC94" s="297">
        <v>12060</v>
      </c>
      <c r="CD94" s="712"/>
    </row>
    <row r="95" spans="1:82" ht="45" x14ac:dyDescent="0.2">
      <c r="A95" s="703"/>
      <c r="B95" s="292" t="s">
        <v>1402</v>
      </c>
      <c r="C95" s="293" t="s">
        <v>712</v>
      </c>
      <c r="D95" s="551"/>
      <c r="E95" s="703"/>
      <c r="F95" s="294" t="s">
        <v>713</v>
      </c>
      <c r="G95" s="296"/>
      <c r="H95" s="296"/>
      <c r="I95" s="296"/>
      <c r="J95" s="499">
        <f t="shared" si="28"/>
        <v>53110</v>
      </c>
      <c r="K95" s="499">
        <f t="shared" si="28"/>
        <v>0</v>
      </c>
      <c r="L95" s="499">
        <f t="shared" si="28"/>
        <v>53110</v>
      </c>
      <c r="M95" s="499">
        <v>53110</v>
      </c>
      <c r="N95" s="499">
        <v>0</v>
      </c>
      <c r="O95" s="499">
        <f t="shared" si="29"/>
        <v>53110</v>
      </c>
      <c r="P95" s="499">
        <f t="shared" si="30"/>
        <v>0</v>
      </c>
      <c r="Q95" s="499">
        <f t="shared" si="30"/>
        <v>0</v>
      </c>
      <c r="R95" s="499">
        <f t="shared" si="30"/>
        <v>0</v>
      </c>
      <c r="S95" s="499">
        <v>53110</v>
      </c>
      <c r="T95" s="499">
        <v>0</v>
      </c>
      <c r="U95" s="499">
        <f t="shared" si="31"/>
        <v>53110</v>
      </c>
      <c r="V95" s="499"/>
      <c r="W95" s="499"/>
      <c r="X95" s="499"/>
      <c r="Y95" s="499">
        <v>53110</v>
      </c>
      <c r="Z95" s="499">
        <v>0</v>
      </c>
      <c r="AA95" s="499">
        <v>53110</v>
      </c>
      <c r="AB95" s="499">
        <f t="shared" si="26"/>
        <v>0</v>
      </c>
      <c r="AC95" s="499">
        <f t="shared" si="26"/>
        <v>0</v>
      </c>
      <c r="AD95" s="499">
        <f t="shared" si="26"/>
        <v>0</v>
      </c>
      <c r="AE95" s="499">
        <v>53110</v>
      </c>
      <c r="AF95" s="499">
        <v>0</v>
      </c>
      <c r="AG95" s="499">
        <v>53110</v>
      </c>
      <c r="AH95" s="299"/>
      <c r="AI95" s="296"/>
      <c r="AJ95" s="298"/>
      <c r="AK95" s="298"/>
      <c r="AL95" s="298"/>
      <c r="AM95" s="298"/>
      <c r="AN95" s="298"/>
      <c r="AO95" s="298"/>
      <c r="AP95" s="298"/>
      <c r="AQ95" s="298"/>
      <c r="AR95" s="298"/>
      <c r="AS95" s="298"/>
      <c r="AT95" s="298"/>
      <c r="AU95" s="298"/>
      <c r="AV95" s="298"/>
      <c r="AW95" s="298"/>
      <c r="AX95" s="298"/>
      <c r="AY95" s="298"/>
      <c r="AZ95" s="298"/>
      <c r="BA95" s="298"/>
      <c r="BB95" s="298"/>
      <c r="BC95" s="499"/>
      <c r="BD95" s="499"/>
      <c r="BE95" s="499"/>
      <c r="BF95" s="298"/>
      <c r="BG95" s="298"/>
      <c r="BH95" s="298"/>
      <c r="BI95" s="712"/>
      <c r="BJ95" s="712"/>
      <c r="BK95" s="712"/>
      <c r="BL95" s="714"/>
      <c r="BM95" s="712"/>
      <c r="BN95" s="712"/>
      <c r="BO95" s="712"/>
      <c r="BP95" s="714"/>
      <c r="BQ95" s="714"/>
      <c r="BR95" s="712"/>
      <c r="BS95" s="712"/>
      <c r="BT95" s="712"/>
      <c r="BU95" s="714"/>
      <c r="BV95" s="714"/>
      <c r="BW95" s="712"/>
      <c r="BX95" s="712"/>
      <c r="BY95" s="714"/>
      <c r="BZ95" s="714"/>
      <c r="CA95" s="712"/>
      <c r="CB95" s="297">
        <v>53110000</v>
      </c>
      <c r="CC95" s="297">
        <v>53110</v>
      </c>
      <c r="CD95" s="712"/>
    </row>
    <row r="96" spans="1:82" ht="24.75" customHeight="1" x14ac:dyDescent="0.2">
      <c r="A96" s="703"/>
      <c r="B96" s="292" t="s">
        <v>1402</v>
      </c>
      <c r="C96" s="293" t="s">
        <v>714</v>
      </c>
      <c r="D96" s="551"/>
      <c r="E96" s="703"/>
      <c r="F96" s="315" t="s">
        <v>715</v>
      </c>
      <c r="G96" s="296"/>
      <c r="H96" s="296"/>
      <c r="I96" s="296"/>
      <c r="J96" s="499">
        <f t="shared" si="28"/>
        <v>1000</v>
      </c>
      <c r="K96" s="499">
        <f t="shared" si="28"/>
        <v>0</v>
      </c>
      <c r="L96" s="499">
        <f t="shared" si="28"/>
        <v>1000</v>
      </c>
      <c r="M96" s="499">
        <v>1000</v>
      </c>
      <c r="N96" s="499">
        <v>0</v>
      </c>
      <c r="O96" s="499">
        <f t="shared" si="29"/>
        <v>1000</v>
      </c>
      <c r="P96" s="499">
        <f t="shared" si="30"/>
        <v>0</v>
      </c>
      <c r="Q96" s="499">
        <f t="shared" si="30"/>
        <v>0</v>
      </c>
      <c r="R96" s="499">
        <f t="shared" si="30"/>
        <v>0</v>
      </c>
      <c r="S96" s="499">
        <v>1000</v>
      </c>
      <c r="T96" s="499">
        <v>0</v>
      </c>
      <c r="U96" s="499">
        <f t="shared" si="31"/>
        <v>1000</v>
      </c>
      <c r="V96" s="499"/>
      <c r="W96" s="499"/>
      <c r="X96" s="499"/>
      <c r="Y96" s="499">
        <v>1000</v>
      </c>
      <c r="Z96" s="499">
        <v>0</v>
      </c>
      <c r="AA96" s="499">
        <v>1000</v>
      </c>
      <c r="AB96" s="499">
        <f t="shared" si="26"/>
        <v>0</v>
      </c>
      <c r="AC96" s="499">
        <f t="shared" si="26"/>
        <v>0</v>
      </c>
      <c r="AD96" s="499">
        <f t="shared" si="26"/>
        <v>0</v>
      </c>
      <c r="AE96" s="499">
        <v>1000</v>
      </c>
      <c r="AF96" s="499">
        <v>0</v>
      </c>
      <c r="AG96" s="499">
        <v>1000</v>
      </c>
      <c r="AH96" s="299"/>
      <c r="AI96" s="296"/>
      <c r="AJ96" s="298"/>
      <c r="AK96" s="298"/>
      <c r="AL96" s="298"/>
      <c r="AM96" s="298"/>
      <c r="AN96" s="298"/>
      <c r="AO96" s="298"/>
      <c r="AP96" s="298"/>
      <c r="AQ96" s="298"/>
      <c r="AR96" s="298"/>
      <c r="AS96" s="298"/>
      <c r="AT96" s="298"/>
      <c r="AU96" s="298"/>
      <c r="AV96" s="298"/>
      <c r="AW96" s="298"/>
      <c r="AX96" s="298"/>
      <c r="AY96" s="298"/>
      <c r="AZ96" s="298"/>
      <c r="BA96" s="298"/>
      <c r="BB96" s="298"/>
      <c r="BC96" s="499"/>
      <c r="BD96" s="499"/>
      <c r="BE96" s="499"/>
      <c r="BF96" s="298"/>
      <c r="BG96" s="298"/>
      <c r="BH96" s="298"/>
      <c r="BI96" s="712"/>
      <c r="BJ96" s="712"/>
      <c r="BK96" s="712"/>
      <c r="BL96" s="714"/>
      <c r="BM96" s="712"/>
      <c r="BN96" s="712"/>
      <c r="BO96" s="712"/>
      <c r="BP96" s="714"/>
      <c r="BQ96" s="714"/>
      <c r="BR96" s="712"/>
      <c r="BS96" s="712"/>
      <c r="BT96" s="712"/>
      <c r="BU96" s="714"/>
      <c r="BV96" s="714"/>
      <c r="BW96" s="712"/>
      <c r="BX96" s="712"/>
      <c r="BY96" s="714"/>
      <c r="BZ96" s="714"/>
      <c r="CA96" s="712"/>
      <c r="CB96" s="297">
        <v>1000000</v>
      </c>
      <c r="CC96" s="297">
        <v>1000</v>
      </c>
      <c r="CD96" s="712"/>
    </row>
    <row r="97" spans="1:82" ht="22.5" x14ac:dyDescent="0.2">
      <c r="A97" s="703"/>
      <c r="B97" s="292" t="s">
        <v>1402</v>
      </c>
      <c r="C97" s="293" t="s">
        <v>716</v>
      </c>
      <c r="D97" s="551"/>
      <c r="E97" s="703"/>
      <c r="F97" s="315" t="s">
        <v>717</v>
      </c>
      <c r="G97" s="296"/>
      <c r="H97" s="296"/>
      <c r="I97" s="296"/>
      <c r="J97" s="499">
        <f t="shared" si="28"/>
        <v>5</v>
      </c>
      <c r="K97" s="499">
        <f t="shared" si="28"/>
        <v>1</v>
      </c>
      <c r="L97" s="499">
        <f t="shared" si="28"/>
        <v>6</v>
      </c>
      <c r="M97" s="499">
        <v>5</v>
      </c>
      <c r="N97" s="499">
        <v>1</v>
      </c>
      <c r="O97" s="499">
        <f t="shared" si="29"/>
        <v>6</v>
      </c>
      <c r="P97" s="499">
        <f t="shared" si="30"/>
        <v>0</v>
      </c>
      <c r="Q97" s="499">
        <f t="shared" si="30"/>
        <v>0</v>
      </c>
      <c r="R97" s="499">
        <f t="shared" si="30"/>
        <v>0</v>
      </c>
      <c r="S97" s="499">
        <v>5</v>
      </c>
      <c r="T97" s="499">
        <v>1</v>
      </c>
      <c r="U97" s="499">
        <f t="shared" si="31"/>
        <v>6</v>
      </c>
      <c r="V97" s="499"/>
      <c r="W97" s="499"/>
      <c r="X97" s="499"/>
      <c r="Y97" s="499">
        <v>5</v>
      </c>
      <c r="Z97" s="499">
        <v>1</v>
      </c>
      <c r="AA97" s="499">
        <v>6</v>
      </c>
      <c r="AB97" s="499">
        <f t="shared" si="26"/>
        <v>0</v>
      </c>
      <c r="AC97" s="499">
        <f t="shared" si="26"/>
        <v>0</v>
      </c>
      <c r="AD97" s="499">
        <f t="shared" si="26"/>
        <v>0</v>
      </c>
      <c r="AE97" s="499">
        <v>5</v>
      </c>
      <c r="AF97" s="499">
        <v>1</v>
      </c>
      <c r="AG97" s="499">
        <v>6</v>
      </c>
      <c r="AH97" s="299"/>
      <c r="AI97" s="296"/>
      <c r="AJ97" s="298"/>
      <c r="AK97" s="298"/>
      <c r="AL97" s="298"/>
      <c r="AM97" s="298"/>
      <c r="AN97" s="298"/>
      <c r="AO97" s="298"/>
      <c r="AP97" s="298"/>
      <c r="AQ97" s="298"/>
      <c r="AR97" s="298"/>
      <c r="AS97" s="298"/>
      <c r="AT97" s="298"/>
      <c r="AU97" s="298"/>
      <c r="AV97" s="298"/>
      <c r="AW97" s="298"/>
      <c r="AX97" s="298"/>
      <c r="AY97" s="298"/>
      <c r="AZ97" s="298"/>
      <c r="BA97" s="298"/>
      <c r="BB97" s="298"/>
      <c r="BC97" s="499"/>
      <c r="BD97" s="499"/>
      <c r="BE97" s="499"/>
      <c r="BF97" s="298"/>
      <c r="BG97" s="298"/>
      <c r="BH97" s="298"/>
      <c r="BI97" s="712"/>
      <c r="BJ97" s="712"/>
      <c r="BK97" s="712"/>
      <c r="BL97" s="714"/>
      <c r="BM97" s="712"/>
      <c r="BN97" s="712"/>
      <c r="BO97" s="712"/>
      <c r="BP97" s="714"/>
      <c r="BQ97" s="714"/>
      <c r="BR97" s="712"/>
      <c r="BS97" s="712"/>
      <c r="BT97" s="712"/>
      <c r="BU97" s="714"/>
      <c r="BV97" s="714"/>
      <c r="BW97" s="712"/>
      <c r="BX97" s="712"/>
      <c r="BY97" s="714"/>
      <c r="BZ97" s="714"/>
      <c r="CA97" s="712"/>
      <c r="CB97" s="297">
        <v>5000</v>
      </c>
      <c r="CC97" s="297">
        <v>6</v>
      </c>
      <c r="CD97" s="712"/>
    </row>
    <row r="98" spans="1:82" ht="27" customHeight="1" x14ac:dyDescent="0.2">
      <c r="A98" s="703"/>
      <c r="B98" s="292" t="s">
        <v>1402</v>
      </c>
      <c r="C98" s="293" t="s">
        <v>718</v>
      </c>
      <c r="D98" s="551"/>
      <c r="E98" s="703"/>
      <c r="F98" s="315" t="s">
        <v>719</v>
      </c>
      <c r="G98" s="296"/>
      <c r="H98" s="296"/>
      <c r="I98" s="296"/>
      <c r="J98" s="499">
        <f t="shared" si="28"/>
        <v>13900</v>
      </c>
      <c r="K98" s="499">
        <f t="shared" si="28"/>
        <v>0</v>
      </c>
      <c r="L98" s="499">
        <f t="shared" si="28"/>
        <v>13900</v>
      </c>
      <c r="M98" s="499">
        <v>13900</v>
      </c>
      <c r="N98" s="499">
        <v>0</v>
      </c>
      <c r="O98" s="499">
        <v>13900</v>
      </c>
      <c r="P98" s="499">
        <f t="shared" si="30"/>
        <v>0</v>
      </c>
      <c r="Q98" s="499">
        <f t="shared" si="30"/>
        <v>0</v>
      </c>
      <c r="R98" s="499">
        <f t="shared" si="30"/>
        <v>0</v>
      </c>
      <c r="S98" s="499">
        <v>13900</v>
      </c>
      <c r="T98" s="499">
        <v>0</v>
      </c>
      <c r="U98" s="499">
        <v>13900</v>
      </c>
      <c r="V98" s="499"/>
      <c r="W98" s="499"/>
      <c r="X98" s="499"/>
      <c r="Y98" s="499">
        <v>13900</v>
      </c>
      <c r="Z98" s="499">
        <v>0</v>
      </c>
      <c r="AA98" s="499">
        <v>13900</v>
      </c>
      <c r="AB98" s="499">
        <f t="shared" si="26"/>
        <v>0</v>
      </c>
      <c r="AC98" s="499">
        <f t="shared" si="26"/>
        <v>0</v>
      </c>
      <c r="AD98" s="499">
        <f t="shared" si="26"/>
        <v>0</v>
      </c>
      <c r="AE98" s="499">
        <v>13900</v>
      </c>
      <c r="AF98" s="499">
        <v>0</v>
      </c>
      <c r="AG98" s="499">
        <v>13900</v>
      </c>
      <c r="AH98" s="299"/>
      <c r="AI98" s="296"/>
      <c r="AJ98" s="298"/>
      <c r="AK98" s="298"/>
      <c r="AL98" s="298"/>
      <c r="AM98" s="298"/>
      <c r="AN98" s="298"/>
      <c r="AO98" s="298"/>
      <c r="AP98" s="298"/>
      <c r="AQ98" s="298"/>
      <c r="AR98" s="298"/>
      <c r="AS98" s="298"/>
      <c r="AT98" s="298"/>
      <c r="AU98" s="298"/>
      <c r="AV98" s="298"/>
      <c r="AW98" s="298"/>
      <c r="AX98" s="298"/>
      <c r="AY98" s="298"/>
      <c r="AZ98" s="298"/>
      <c r="BA98" s="298"/>
      <c r="BB98" s="298"/>
      <c r="BC98" s="499"/>
      <c r="BD98" s="499"/>
      <c r="BE98" s="499"/>
      <c r="BF98" s="298"/>
      <c r="BG98" s="298"/>
      <c r="BH98" s="298"/>
      <c r="BI98" s="712"/>
      <c r="BJ98" s="712"/>
      <c r="BK98" s="712"/>
      <c r="BL98" s="714"/>
      <c r="BM98" s="712"/>
      <c r="BN98" s="712"/>
      <c r="BO98" s="712"/>
      <c r="BP98" s="714"/>
      <c r="BQ98" s="714"/>
      <c r="BR98" s="712"/>
      <c r="BS98" s="712"/>
      <c r="BT98" s="712"/>
      <c r="BU98" s="714"/>
      <c r="BV98" s="714"/>
      <c r="BW98" s="712"/>
      <c r="BX98" s="712"/>
      <c r="BY98" s="714"/>
      <c r="BZ98" s="714"/>
      <c r="CA98" s="712"/>
      <c r="CB98" s="297">
        <v>13900000</v>
      </c>
      <c r="CC98" s="297">
        <v>13900</v>
      </c>
      <c r="CD98" s="712"/>
    </row>
    <row r="99" spans="1:82" ht="22.5" x14ac:dyDescent="0.2">
      <c r="A99" s="703"/>
      <c r="B99" s="292" t="s">
        <v>1402</v>
      </c>
      <c r="C99" s="293" t="s">
        <v>720</v>
      </c>
      <c r="D99" s="314" t="s">
        <v>641</v>
      </c>
      <c r="E99" s="703"/>
      <c r="F99" s="294" t="s">
        <v>1404</v>
      </c>
      <c r="G99" s="296">
        <v>22000</v>
      </c>
      <c r="H99" s="296"/>
      <c r="I99" s="296">
        <f>SUM(G99:H99)</f>
        <v>22000</v>
      </c>
      <c r="J99" s="297">
        <f t="shared" si="28"/>
        <v>0</v>
      </c>
      <c r="K99" s="297">
        <f t="shared" si="28"/>
        <v>0</v>
      </c>
      <c r="L99" s="297">
        <f t="shared" si="28"/>
        <v>0</v>
      </c>
      <c r="M99" s="296">
        <v>22000</v>
      </c>
      <c r="N99" s="296"/>
      <c r="O99" s="296">
        <f t="shared" ref="O99:O118" si="32">SUM(M99:N99)</f>
        <v>22000</v>
      </c>
      <c r="P99" s="499">
        <f t="shared" si="30"/>
        <v>0</v>
      </c>
      <c r="Q99" s="499">
        <f t="shared" si="30"/>
        <v>0</v>
      </c>
      <c r="R99" s="499">
        <f t="shared" si="30"/>
        <v>0</v>
      </c>
      <c r="S99" s="499">
        <v>22000</v>
      </c>
      <c r="T99" s="499"/>
      <c r="U99" s="499">
        <f t="shared" ref="U99:U126" si="33">SUM(S99:T99)</f>
        <v>22000</v>
      </c>
      <c r="V99" s="499"/>
      <c r="W99" s="499"/>
      <c r="X99" s="499"/>
      <c r="Y99" s="499">
        <v>22000</v>
      </c>
      <c r="Z99" s="499"/>
      <c r="AA99" s="499">
        <v>22000</v>
      </c>
      <c r="AB99" s="499">
        <f t="shared" si="26"/>
        <v>0</v>
      </c>
      <c r="AC99" s="499">
        <f t="shared" si="26"/>
        <v>0</v>
      </c>
      <c r="AD99" s="499">
        <f t="shared" si="26"/>
        <v>0</v>
      </c>
      <c r="AE99" s="499">
        <v>22000</v>
      </c>
      <c r="AF99" s="499"/>
      <c r="AG99" s="499">
        <v>22000</v>
      </c>
      <c r="AH99" s="299"/>
      <c r="AI99" s="296"/>
      <c r="AJ99" s="298"/>
      <c r="AK99" s="298"/>
      <c r="AL99" s="298"/>
      <c r="AM99" s="298"/>
      <c r="AN99" s="298"/>
      <c r="AO99" s="298"/>
      <c r="AP99" s="298"/>
      <c r="AQ99" s="298"/>
      <c r="AR99" s="298"/>
      <c r="AS99" s="298"/>
      <c r="AT99" s="298"/>
      <c r="AU99" s="298"/>
      <c r="AV99" s="298"/>
      <c r="AW99" s="298"/>
      <c r="AX99" s="298"/>
      <c r="AY99" s="298"/>
      <c r="AZ99" s="298"/>
      <c r="BA99" s="298"/>
      <c r="BB99" s="298"/>
      <c r="BC99" s="499"/>
      <c r="BD99" s="499"/>
      <c r="BE99" s="499"/>
      <c r="BF99" s="298"/>
      <c r="BG99" s="298"/>
      <c r="BH99" s="298"/>
      <c r="BI99" s="712"/>
      <c r="BJ99" s="712"/>
      <c r="BK99" s="712"/>
      <c r="BL99" s="714"/>
      <c r="BM99" s="712"/>
      <c r="BN99" s="712"/>
      <c r="BO99" s="712"/>
      <c r="BP99" s="714"/>
      <c r="BQ99" s="714"/>
      <c r="BR99" s="712"/>
      <c r="BS99" s="712"/>
      <c r="BT99" s="712"/>
      <c r="BU99" s="714"/>
      <c r="BV99" s="714"/>
      <c r="BW99" s="712"/>
      <c r="BX99" s="712"/>
      <c r="BY99" s="714"/>
      <c r="BZ99" s="714"/>
      <c r="CA99" s="712"/>
      <c r="CB99" s="297">
        <v>22000000</v>
      </c>
      <c r="CC99" s="297">
        <v>22000</v>
      </c>
      <c r="CD99" s="712"/>
    </row>
    <row r="100" spans="1:82" ht="22.5" x14ac:dyDescent="0.2">
      <c r="A100" s="703"/>
      <c r="B100" s="292" t="s">
        <v>1402</v>
      </c>
      <c r="C100" s="293" t="s">
        <v>721</v>
      </c>
      <c r="D100" s="314" t="s">
        <v>641</v>
      </c>
      <c r="E100" s="703"/>
      <c r="F100" s="294" t="s">
        <v>1405</v>
      </c>
      <c r="G100" s="296">
        <v>18000</v>
      </c>
      <c r="H100" s="296"/>
      <c r="I100" s="296">
        <f>SUM(G100:H100)</f>
        <v>18000</v>
      </c>
      <c r="J100" s="297">
        <f t="shared" si="28"/>
        <v>0</v>
      </c>
      <c r="K100" s="297">
        <f t="shared" si="28"/>
        <v>0</v>
      </c>
      <c r="L100" s="297">
        <f t="shared" si="28"/>
        <v>0</v>
      </c>
      <c r="M100" s="296">
        <v>18000</v>
      </c>
      <c r="N100" s="296"/>
      <c r="O100" s="296">
        <f t="shared" si="32"/>
        <v>18000</v>
      </c>
      <c r="P100" s="499">
        <f t="shared" si="30"/>
        <v>0</v>
      </c>
      <c r="Q100" s="499">
        <f t="shared" si="30"/>
        <v>0</v>
      </c>
      <c r="R100" s="499">
        <f t="shared" si="30"/>
        <v>0</v>
      </c>
      <c r="S100" s="499">
        <v>18000</v>
      </c>
      <c r="T100" s="499"/>
      <c r="U100" s="499">
        <f t="shared" si="33"/>
        <v>18000</v>
      </c>
      <c r="V100" s="499"/>
      <c r="W100" s="499"/>
      <c r="X100" s="499"/>
      <c r="Y100" s="499">
        <v>18000</v>
      </c>
      <c r="Z100" s="499"/>
      <c r="AA100" s="499">
        <v>18000</v>
      </c>
      <c r="AB100" s="499">
        <f t="shared" si="26"/>
        <v>0</v>
      </c>
      <c r="AC100" s="499">
        <f t="shared" si="26"/>
        <v>0</v>
      </c>
      <c r="AD100" s="499">
        <f t="shared" si="26"/>
        <v>0</v>
      </c>
      <c r="AE100" s="499">
        <v>18000</v>
      </c>
      <c r="AF100" s="499"/>
      <c r="AG100" s="499">
        <v>18000</v>
      </c>
      <c r="AH100" s="299"/>
      <c r="AI100" s="296"/>
      <c r="AJ100" s="298"/>
      <c r="AK100" s="298"/>
      <c r="AL100" s="298"/>
      <c r="AM100" s="298"/>
      <c r="AN100" s="298"/>
      <c r="AO100" s="298"/>
      <c r="AP100" s="298"/>
      <c r="AQ100" s="298"/>
      <c r="AR100" s="298"/>
      <c r="AS100" s="298"/>
      <c r="AT100" s="298"/>
      <c r="AU100" s="298"/>
      <c r="AV100" s="298"/>
      <c r="AW100" s="298"/>
      <c r="AX100" s="298"/>
      <c r="AY100" s="298"/>
      <c r="AZ100" s="298"/>
      <c r="BA100" s="298"/>
      <c r="BB100" s="298"/>
      <c r="BC100" s="499"/>
      <c r="BD100" s="499"/>
      <c r="BE100" s="499"/>
      <c r="BF100" s="298"/>
      <c r="BG100" s="298"/>
      <c r="BH100" s="298"/>
      <c r="BI100" s="712"/>
      <c r="BJ100" s="712"/>
      <c r="BK100" s="712"/>
      <c r="BL100" s="714"/>
      <c r="BM100" s="712"/>
      <c r="BN100" s="712"/>
      <c r="BO100" s="712"/>
      <c r="BP100" s="714"/>
      <c r="BQ100" s="714"/>
      <c r="BR100" s="712"/>
      <c r="BS100" s="712"/>
      <c r="BT100" s="712"/>
      <c r="BU100" s="714"/>
      <c r="BV100" s="714"/>
      <c r="BW100" s="712"/>
      <c r="BX100" s="712"/>
      <c r="BY100" s="714"/>
      <c r="BZ100" s="714"/>
      <c r="CA100" s="712"/>
      <c r="CB100" s="297">
        <v>18000000</v>
      </c>
      <c r="CC100" s="297">
        <v>18000</v>
      </c>
      <c r="CD100" s="712"/>
    </row>
    <row r="101" spans="1:82" ht="17.25" customHeight="1" x14ac:dyDescent="0.2">
      <c r="A101" s="703"/>
      <c r="B101" s="292" t="s">
        <v>1402</v>
      </c>
      <c r="C101" s="293" t="s">
        <v>722</v>
      </c>
      <c r="D101" s="314"/>
      <c r="E101" s="703"/>
      <c r="F101" s="294" t="s">
        <v>1406</v>
      </c>
      <c r="G101" s="296">
        <v>44000</v>
      </c>
      <c r="H101" s="296"/>
      <c r="I101" s="296">
        <f>SUM(G101:H101)</f>
        <v>44000</v>
      </c>
      <c r="J101" s="297">
        <f t="shared" si="28"/>
        <v>0</v>
      </c>
      <c r="K101" s="297">
        <f t="shared" si="28"/>
        <v>0</v>
      </c>
      <c r="L101" s="297">
        <f t="shared" si="28"/>
        <v>0</v>
      </c>
      <c r="M101" s="296">
        <v>44000</v>
      </c>
      <c r="N101" s="296"/>
      <c r="O101" s="296">
        <f t="shared" si="32"/>
        <v>44000</v>
      </c>
      <c r="P101" s="499">
        <f t="shared" si="30"/>
        <v>0</v>
      </c>
      <c r="Q101" s="499">
        <f t="shared" si="30"/>
        <v>0</v>
      </c>
      <c r="R101" s="499">
        <f t="shared" si="30"/>
        <v>0</v>
      </c>
      <c r="S101" s="499">
        <v>44000</v>
      </c>
      <c r="T101" s="499"/>
      <c r="U101" s="499">
        <f t="shared" si="33"/>
        <v>44000</v>
      </c>
      <c r="V101" s="499"/>
      <c r="W101" s="499"/>
      <c r="X101" s="499"/>
      <c r="Y101" s="499">
        <v>44000</v>
      </c>
      <c r="Z101" s="499"/>
      <c r="AA101" s="499">
        <v>44000</v>
      </c>
      <c r="AB101" s="499">
        <f t="shared" si="26"/>
        <v>0</v>
      </c>
      <c r="AC101" s="499">
        <f t="shared" si="26"/>
        <v>0</v>
      </c>
      <c r="AD101" s="499">
        <f t="shared" si="26"/>
        <v>0</v>
      </c>
      <c r="AE101" s="499">
        <v>44000</v>
      </c>
      <c r="AF101" s="499"/>
      <c r="AG101" s="499">
        <v>44000</v>
      </c>
      <c r="AH101" s="299"/>
      <c r="AI101" s="296"/>
      <c r="AJ101" s="298"/>
      <c r="AK101" s="298"/>
      <c r="AL101" s="298"/>
      <c r="AM101" s="298"/>
      <c r="AN101" s="298"/>
      <c r="AO101" s="298"/>
      <c r="AP101" s="298"/>
      <c r="AQ101" s="298"/>
      <c r="AR101" s="298"/>
      <c r="AS101" s="298"/>
      <c r="AT101" s="298"/>
      <c r="AU101" s="298"/>
      <c r="AV101" s="298"/>
      <c r="AW101" s="298"/>
      <c r="AX101" s="298"/>
      <c r="AY101" s="298"/>
      <c r="AZ101" s="298"/>
      <c r="BA101" s="298"/>
      <c r="BB101" s="298"/>
      <c r="BC101" s="499"/>
      <c r="BD101" s="499"/>
      <c r="BE101" s="499"/>
      <c r="BF101" s="298"/>
      <c r="BG101" s="298"/>
      <c r="BH101" s="298"/>
      <c r="BI101" s="712"/>
      <c r="BJ101" s="712"/>
      <c r="BK101" s="712"/>
      <c r="BL101" s="714"/>
      <c r="BM101" s="712"/>
      <c r="BN101" s="712"/>
      <c r="BO101" s="712"/>
      <c r="BP101" s="714"/>
      <c r="BQ101" s="714"/>
      <c r="BR101" s="712"/>
      <c r="BS101" s="712"/>
      <c r="BT101" s="712"/>
      <c r="BU101" s="714"/>
      <c r="BV101" s="714"/>
      <c r="BW101" s="712"/>
      <c r="BX101" s="712"/>
      <c r="BY101" s="714"/>
      <c r="BZ101" s="714"/>
      <c r="CA101" s="712"/>
      <c r="CB101" s="297">
        <v>44000000</v>
      </c>
      <c r="CC101" s="297">
        <v>44000</v>
      </c>
      <c r="CD101" s="712"/>
    </row>
    <row r="102" spans="1:82" ht="17.25" customHeight="1" x14ac:dyDescent="0.2">
      <c r="A102" s="703"/>
      <c r="B102" s="292" t="s">
        <v>1402</v>
      </c>
      <c r="C102" s="293" t="s">
        <v>1176</v>
      </c>
      <c r="D102" s="314"/>
      <c r="E102" s="703"/>
      <c r="F102" s="294" t="s">
        <v>1177</v>
      </c>
      <c r="G102" s="296"/>
      <c r="H102" s="296"/>
      <c r="I102" s="296"/>
      <c r="J102" s="297"/>
      <c r="K102" s="297"/>
      <c r="L102" s="297"/>
      <c r="M102" s="296"/>
      <c r="N102" s="296"/>
      <c r="O102" s="296"/>
      <c r="P102" s="499">
        <f t="shared" si="30"/>
        <v>16412</v>
      </c>
      <c r="Q102" s="499">
        <f t="shared" si="30"/>
        <v>0</v>
      </c>
      <c r="R102" s="499">
        <f t="shared" si="30"/>
        <v>16412</v>
      </c>
      <c r="S102" s="499">
        <v>16412</v>
      </c>
      <c r="T102" s="499"/>
      <c r="U102" s="499">
        <f t="shared" si="33"/>
        <v>16412</v>
      </c>
      <c r="V102" s="499"/>
      <c r="W102" s="499"/>
      <c r="X102" s="499"/>
      <c r="Y102" s="499">
        <v>16412</v>
      </c>
      <c r="Z102" s="499"/>
      <c r="AA102" s="499">
        <v>16412</v>
      </c>
      <c r="AB102" s="499">
        <f t="shared" si="26"/>
        <v>0</v>
      </c>
      <c r="AC102" s="499">
        <f t="shared" si="26"/>
        <v>0</v>
      </c>
      <c r="AD102" s="499">
        <f t="shared" si="26"/>
        <v>0</v>
      </c>
      <c r="AE102" s="499">
        <v>16412</v>
      </c>
      <c r="AF102" s="499"/>
      <c r="AG102" s="499">
        <f t="shared" ref="AG102:AG109" si="34">SUM(AE102:AF102)</f>
        <v>16412</v>
      </c>
      <c r="AH102" s="299"/>
      <c r="AI102" s="296"/>
      <c r="AJ102" s="298"/>
      <c r="AK102" s="298"/>
      <c r="AL102" s="298"/>
      <c r="AM102" s="298"/>
      <c r="AN102" s="298"/>
      <c r="AO102" s="298"/>
      <c r="AP102" s="298"/>
      <c r="AQ102" s="298"/>
      <c r="AR102" s="298"/>
      <c r="AS102" s="298"/>
      <c r="AT102" s="298"/>
      <c r="AU102" s="298"/>
      <c r="AV102" s="298"/>
      <c r="AW102" s="298"/>
      <c r="AX102" s="298"/>
      <c r="AY102" s="298"/>
      <c r="AZ102" s="298"/>
      <c r="BA102" s="298"/>
      <c r="BB102" s="298"/>
      <c r="BC102" s="499"/>
      <c r="BD102" s="499"/>
      <c r="BE102" s="499"/>
      <c r="BF102" s="298"/>
      <c r="BG102" s="298"/>
      <c r="BH102" s="298"/>
      <c r="BI102" s="712"/>
      <c r="BJ102" s="712"/>
      <c r="BK102" s="712"/>
      <c r="BL102" s="714"/>
      <c r="BM102" s="712"/>
      <c r="BN102" s="712"/>
      <c r="BO102" s="712"/>
      <c r="BP102" s="714"/>
      <c r="BQ102" s="714"/>
      <c r="BR102" s="712"/>
      <c r="BS102" s="712"/>
      <c r="BT102" s="712"/>
      <c r="BU102" s="714"/>
      <c r="BV102" s="714"/>
      <c r="BW102" s="712"/>
      <c r="BX102" s="712"/>
      <c r="BY102" s="714"/>
      <c r="BZ102" s="714"/>
      <c r="CA102" s="712"/>
      <c r="CB102" s="297">
        <v>16412000</v>
      </c>
      <c r="CC102" s="297">
        <v>16412</v>
      </c>
      <c r="CD102" s="712"/>
    </row>
    <row r="103" spans="1:82" ht="22.5" x14ac:dyDescent="0.2">
      <c r="A103" s="703"/>
      <c r="B103" s="292" t="s">
        <v>1402</v>
      </c>
      <c r="C103" s="293" t="s">
        <v>1178</v>
      </c>
      <c r="D103" s="303"/>
      <c r="E103" s="703"/>
      <c r="F103" s="294" t="s">
        <v>1179</v>
      </c>
      <c r="G103" s="296"/>
      <c r="H103" s="296"/>
      <c r="I103" s="296"/>
      <c r="J103" s="297"/>
      <c r="K103" s="297"/>
      <c r="L103" s="297"/>
      <c r="M103" s="296"/>
      <c r="N103" s="296"/>
      <c r="O103" s="296"/>
      <c r="P103" s="499">
        <f t="shared" si="30"/>
        <v>20000</v>
      </c>
      <c r="Q103" s="499"/>
      <c r="R103" s="499">
        <f t="shared" si="30"/>
        <v>20000</v>
      </c>
      <c r="S103" s="499">
        <v>20000</v>
      </c>
      <c r="T103" s="499"/>
      <c r="U103" s="499">
        <f t="shared" si="33"/>
        <v>20000</v>
      </c>
      <c r="V103" s="499"/>
      <c r="W103" s="499"/>
      <c r="X103" s="499"/>
      <c r="Y103" s="499">
        <v>20000</v>
      </c>
      <c r="Z103" s="499"/>
      <c r="AA103" s="499">
        <v>20000</v>
      </c>
      <c r="AB103" s="499">
        <f t="shared" ref="AB103:AD118" si="35">AE103-S103</f>
        <v>0</v>
      </c>
      <c r="AC103" s="499">
        <f t="shared" si="35"/>
        <v>0</v>
      </c>
      <c r="AD103" s="499">
        <f t="shared" si="35"/>
        <v>0</v>
      </c>
      <c r="AE103" s="499">
        <v>20000</v>
      </c>
      <c r="AF103" s="499"/>
      <c r="AG103" s="499">
        <f t="shared" si="34"/>
        <v>20000</v>
      </c>
      <c r="AH103" s="299"/>
      <c r="AI103" s="296"/>
      <c r="AJ103" s="298"/>
      <c r="AK103" s="298"/>
      <c r="AL103" s="298"/>
      <c r="AM103" s="298"/>
      <c r="AN103" s="298"/>
      <c r="AO103" s="298"/>
      <c r="AP103" s="298"/>
      <c r="AQ103" s="298"/>
      <c r="AR103" s="298"/>
      <c r="AS103" s="298"/>
      <c r="AT103" s="298"/>
      <c r="AU103" s="298"/>
      <c r="AV103" s="298"/>
      <c r="AW103" s="298"/>
      <c r="AX103" s="298"/>
      <c r="AY103" s="298"/>
      <c r="AZ103" s="298"/>
      <c r="BA103" s="298"/>
      <c r="BB103" s="298"/>
      <c r="BC103" s="499"/>
      <c r="BD103" s="499"/>
      <c r="BE103" s="499"/>
      <c r="BF103" s="298"/>
      <c r="BG103" s="298"/>
      <c r="BH103" s="298"/>
      <c r="BI103" s="712"/>
      <c r="BJ103" s="712"/>
      <c r="BK103" s="712"/>
      <c r="BL103" s="714"/>
      <c r="BM103" s="712"/>
      <c r="BN103" s="712"/>
      <c r="BO103" s="712"/>
      <c r="BP103" s="714"/>
      <c r="BQ103" s="714"/>
      <c r="BR103" s="712"/>
      <c r="BS103" s="712"/>
      <c r="BT103" s="712"/>
      <c r="BU103" s="714"/>
      <c r="BV103" s="714"/>
      <c r="BW103" s="712"/>
      <c r="BX103" s="712"/>
      <c r="BY103" s="714"/>
      <c r="BZ103" s="714"/>
      <c r="CA103" s="712"/>
      <c r="CB103" s="297">
        <v>20000000</v>
      </c>
      <c r="CC103" s="297">
        <v>20000</v>
      </c>
      <c r="CD103" s="712"/>
    </row>
    <row r="104" spans="1:82" x14ac:dyDescent="0.2">
      <c r="A104" s="703"/>
      <c r="B104" s="292" t="s">
        <v>1402</v>
      </c>
      <c r="C104" s="293" t="s">
        <v>1180</v>
      </c>
      <c r="D104" s="314"/>
      <c r="E104" s="703"/>
      <c r="F104" s="294" t="s">
        <v>1181</v>
      </c>
      <c r="G104" s="296"/>
      <c r="H104" s="296"/>
      <c r="I104" s="296"/>
      <c r="J104" s="297"/>
      <c r="K104" s="297"/>
      <c r="L104" s="297"/>
      <c r="M104" s="296"/>
      <c r="N104" s="296"/>
      <c r="O104" s="296"/>
      <c r="P104" s="499">
        <f t="shared" si="30"/>
        <v>8000</v>
      </c>
      <c r="Q104" s="499"/>
      <c r="R104" s="499">
        <f t="shared" si="30"/>
        <v>8000</v>
      </c>
      <c r="S104" s="499">
        <v>8000</v>
      </c>
      <c r="T104" s="499"/>
      <c r="U104" s="499">
        <f t="shared" si="33"/>
        <v>8000</v>
      </c>
      <c r="V104" s="499"/>
      <c r="W104" s="499"/>
      <c r="X104" s="499"/>
      <c r="Y104" s="499">
        <v>8000</v>
      </c>
      <c r="Z104" s="499"/>
      <c r="AA104" s="499">
        <v>8000</v>
      </c>
      <c r="AB104" s="499">
        <f t="shared" si="35"/>
        <v>-4000</v>
      </c>
      <c r="AC104" s="499">
        <f t="shared" si="35"/>
        <v>0</v>
      </c>
      <c r="AD104" s="499">
        <f t="shared" si="35"/>
        <v>-4000</v>
      </c>
      <c r="AE104" s="499">
        <v>4000</v>
      </c>
      <c r="AF104" s="499"/>
      <c r="AG104" s="499">
        <f t="shared" si="34"/>
        <v>4000</v>
      </c>
      <c r="AH104" s="299"/>
      <c r="AI104" s="296"/>
      <c r="AJ104" s="298"/>
      <c r="AK104" s="298"/>
      <c r="AL104" s="298"/>
      <c r="AM104" s="298"/>
      <c r="AN104" s="298"/>
      <c r="AO104" s="298"/>
      <c r="AP104" s="298"/>
      <c r="AQ104" s="298"/>
      <c r="AR104" s="298"/>
      <c r="AS104" s="298"/>
      <c r="AT104" s="298"/>
      <c r="AU104" s="298"/>
      <c r="AV104" s="298"/>
      <c r="AW104" s="298"/>
      <c r="AX104" s="298"/>
      <c r="AY104" s="298"/>
      <c r="AZ104" s="298"/>
      <c r="BA104" s="298"/>
      <c r="BB104" s="298"/>
      <c r="BC104" s="499"/>
      <c r="BD104" s="499"/>
      <c r="BE104" s="499"/>
      <c r="BF104" s="298"/>
      <c r="BG104" s="298"/>
      <c r="BH104" s="298"/>
      <c r="BI104" s="712"/>
      <c r="BJ104" s="712"/>
      <c r="BK104" s="712"/>
      <c r="BL104" s="714"/>
      <c r="BM104" s="712"/>
      <c r="BN104" s="712"/>
      <c r="BO104" s="712"/>
      <c r="BP104" s="714"/>
      <c r="BQ104" s="714"/>
      <c r="BR104" s="712"/>
      <c r="BS104" s="712"/>
      <c r="BT104" s="712"/>
      <c r="BU104" s="714"/>
      <c r="BV104" s="714"/>
      <c r="BW104" s="712"/>
      <c r="BX104" s="712"/>
      <c r="BY104" s="714"/>
      <c r="BZ104" s="714"/>
      <c r="CA104" s="712"/>
      <c r="CB104" s="297">
        <v>4000000</v>
      </c>
      <c r="CC104" s="297">
        <v>4000</v>
      </c>
      <c r="CD104" s="712"/>
    </row>
    <row r="105" spans="1:82" x14ac:dyDescent="0.2">
      <c r="A105" s="703"/>
      <c r="B105" s="292" t="s">
        <v>1402</v>
      </c>
      <c r="C105" s="293" t="s">
        <v>1196</v>
      </c>
      <c r="D105" s="303"/>
      <c r="E105" s="703"/>
      <c r="F105" s="294" t="s">
        <v>1182</v>
      </c>
      <c r="G105" s="296"/>
      <c r="H105" s="296"/>
      <c r="I105" s="296"/>
      <c r="J105" s="297"/>
      <c r="K105" s="297"/>
      <c r="L105" s="297"/>
      <c r="M105" s="296"/>
      <c r="N105" s="296"/>
      <c r="O105" s="296"/>
      <c r="P105" s="499">
        <f t="shared" si="30"/>
        <v>63500</v>
      </c>
      <c r="Q105" s="499"/>
      <c r="R105" s="499">
        <f t="shared" si="30"/>
        <v>70439</v>
      </c>
      <c r="S105" s="499">
        <f>37800+25700</f>
        <v>63500</v>
      </c>
      <c r="T105" s="499">
        <v>6939</v>
      </c>
      <c r="U105" s="499">
        <v>70439</v>
      </c>
      <c r="V105" s="499"/>
      <c r="W105" s="499"/>
      <c r="X105" s="499"/>
      <c r="Y105" s="499">
        <v>63500</v>
      </c>
      <c r="Z105" s="499">
        <v>6939</v>
      </c>
      <c r="AA105" s="499">
        <v>70439</v>
      </c>
      <c r="AB105" s="499">
        <f t="shared" si="35"/>
        <v>-63500</v>
      </c>
      <c r="AC105" s="499">
        <f t="shared" si="35"/>
        <v>-6939</v>
      </c>
      <c r="AD105" s="499">
        <f t="shared" si="35"/>
        <v>-70439</v>
      </c>
      <c r="AE105" s="499">
        <v>0</v>
      </c>
      <c r="AF105" s="499">
        <v>0</v>
      </c>
      <c r="AG105" s="499">
        <f t="shared" si="34"/>
        <v>0</v>
      </c>
      <c r="AH105" s="299"/>
      <c r="AI105" s="296"/>
      <c r="AJ105" s="300"/>
      <c r="AK105" s="298"/>
      <c r="AL105" s="298"/>
      <c r="AM105" s="298"/>
      <c r="AN105" s="298"/>
      <c r="AO105" s="298"/>
      <c r="AP105" s="298"/>
      <c r="AQ105" s="298"/>
      <c r="AR105" s="298"/>
      <c r="AS105" s="298"/>
      <c r="AT105" s="298"/>
      <c r="AU105" s="298"/>
      <c r="AV105" s="298"/>
      <c r="AW105" s="298"/>
      <c r="AX105" s="298"/>
      <c r="AY105" s="298"/>
      <c r="AZ105" s="298"/>
      <c r="BA105" s="298"/>
      <c r="BB105" s="298"/>
      <c r="BC105" s="499"/>
      <c r="BD105" s="499"/>
      <c r="BE105" s="499"/>
      <c r="BF105" s="298"/>
      <c r="BG105" s="298"/>
      <c r="BH105" s="298"/>
      <c r="BI105" s="712"/>
      <c r="BJ105" s="712"/>
      <c r="BK105" s="712"/>
      <c r="BL105" s="714"/>
      <c r="BM105" s="712"/>
      <c r="BN105" s="712"/>
      <c r="BO105" s="712"/>
      <c r="BP105" s="714"/>
      <c r="BQ105" s="714"/>
      <c r="BR105" s="712"/>
      <c r="BS105" s="712"/>
      <c r="BT105" s="712"/>
      <c r="BU105" s="714"/>
      <c r="BV105" s="714"/>
      <c r="BW105" s="712"/>
      <c r="BX105" s="712"/>
      <c r="BY105" s="714"/>
      <c r="BZ105" s="714"/>
      <c r="CA105" s="712"/>
      <c r="CB105" s="297">
        <v>0</v>
      </c>
      <c r="CC105" s="297">
        <v>0</v>
      </c>
      <c r="CD105" s="712"/>
    </row>
    <row r="106" spans="1:82" ht="33.75" x14ac:dyDescent="0.2">
      <c r="A106" s="703"/>
      <c r="B106" s="292" t="s">
        <v>1402</v>
      </c>
      <c r="C106" s="293" t="s">
        <v>1407</v>
      </c>
      <c r="D106" s="314"/>
      <c r="E106" s="703"/>
      <c r="F106" s="294" t="s">
        <v>1408</v>
      </c>
      <c r="G106" s="296"/>
      <c r="H106" s="296"/>
      <c r="I106" s="296"/>
      <c r="J106" s="297"/>
      <c r="K106" s="297"/>
      <c r="L106" s="297"/>
      <c r="M106" s="296"/>
      <c r="N106" s="296"/>
      <c r="O106" s="296"/>
      <c r="P106" s="499"/>
      <c r="Q106" s="499"/>
      <c r="R106" s="499"/>
      <c r="S106" s="499"/>
      <c r="T106" s="499"/>
      <c r="U106" s="499"/>
      <c r="V106" s="499"/>
      <c r="W106" s="499"/>
      <c r="X106" s="499"/>
      <c r="Y106" s="499"/>
      <c r="Z106" s="499"/>
      <c r="AA106" s="499"/>
      <c r="AB106" s="499">
        <f t="shared" si="35"/>
        <v>15000</v>
      </c>
      <c r="AC106" s="499">
        <f t="shared" si="35"/>
        <v>0</v>
      </c>
      <c r="AD106" s="499">
        <f t="shared" si="35"/>
        <v>15000</v>
      </c>
      <c r="AE106" s="499">
        <v>15000</v>
      </c>
      <c r="AF106" s="499"/>
      <c r="AG106" s="499">
        <f t="shared" si="34"/>
        <v>15000</v>
      </c>
      <c r="AH106" s="299"/>
      <c r="AI106" s="296"/>
      <c r="AJ106" s="298"/>
      <c r="AK106" s="298"/>
      <c r="AL106" s="298"/>
      <c r="AM106" s="298"/>
      <c r="AN106" s="298"/>
      <c r="AO106" s="298"/>
      <c r="AP106" s="298"/>
      <c r="AQ106" s="298"/>
      <c r="AR106" s="298"/>
      <c r="AS106" s="298"/>
      <c r="AT106" s="298"/>
      <c r="AU106" s="298"/>
      <c r="AV106" s="298"/>
      <c r="AW106" s="298"/>
      <c r="AX106" s="298"/>
      <c r="AY106" s="298"/>
      <c r="AZ106" s="298"/>
      <c r="BA106" s="298"/>
      <c r="BB106" s="298"/>
      <c r="BC106" s="499"/>
      <c r="BD106" s="499"/>
      <c r="BE106" s="499"/>
      <c r="BF106" s="298"/>
      <c r="BG106" s="298"/>
      <c r="BH106" s="298"/>
      <c r="BI106" s="712"/>
      <c r="BJ106" s="712"/>
      <c r="BK106" s="712"/>
      <c r="BL106" s="714"/>
      <c r="BM106" s="712"/>
      <c r="BN106" s="712"/>
      <c r="BO106" s="712"/>
      <c r="BP106" s="714"/>
      <c r="BQ106" s="714"/>
      <c r="BR106" s="712"/>
      <c r="BS106" s="712"/>
      <c r="BT106" s="712"/>
      <c r="BU106" s="714"/>
      <c r="BV106" s="714"/>
      <c r="BW106" s="712"/>
      <c r="BX106" s="712"/>
      <c r="BY106" s="714"/>
      <c r="BZ106" s="714"/>
      <c r="CA106" s="712"/>
      <c r="CB106" s="297">
        <v>15000000</v>
      </c>
      <c r="CC106" s="297">
        <v>15000</v>
      </c>
      <c r="CD106" s="712"/>
    </row>
    <row r="107" spans="1:82" ht="22.5" x14ac:dyDescent="0.2">
      <c r="A107" s="703"/>
      <c r="B107" s="292" t="s">
        <v>1402</v>
      </c>
      <c r="C107" s="293" t="s">
        <v>1409</v>
      </c>
      <c r="D107" s="314"/>
      <c r="E107" s="703"/>
      <c r="F107" s="294" t="s">
        <v>1410</v>
      </c>
      <c r="G107" s="296"/>
      <c r="H107" s="296"/>
      <c r="I107" s="296"/>
      <c r="J107" s="297"/>
      <c r="K107" s="297"/>
      <c r="L107" s="297"/>
      <c r="M107" s="296"/>
      <c r="N107" s="296"/>
      <c r="O107" s="296"/>
      <c r="P107" s="499"/>
      <c r="Q107" s="499"/>
      <c r="R107" s="499"/>
      <c r="S107" s="499"/>
      <c r="T107" s="499"/>
      <c r="U107" s="499"/>
      <c r="V107" s="499"/>
      <c r="W107" s="499"/>
      <c r="X107" s="499"/>
      <c r="Y107" s="499"/>
      <c r="Z107" s="499"/>
      <c r="AA107" s="499"/>
      <c r="AB107" s="499">
        <f t="shared" si="35"/>
        <v>6000</v>
      </c>
      <c r="AC107" s="499">
        <f t="shared" si="35"/>
        <v>0</v>
      </c>
      <c r="AD107" s="499">
        <f t="shared" si="35"/>
        <v>6000</v>
      </c>
      <c r="AE107" s="499">
        <v>6000</v>
      </c>
      <c r="AF107" s="499"/>
      <c r="AG107" s="499">
        <f t="shared" si="34"/>
        <v>6000</v>
      </c>
      <c r="AH107" s="299"/>
      <c r="AI107" s="296"/>
      <c r="AJ107" s="298"/>
      <c r="AK107" s="298"/>
      <c r="AL107" s="298"/>
      <c r="AM107" s="298"/>
      <c r="AN107" s="298"/>
      <c r="AO107" s="298"/>
      <c r="AP107" s="298"/>
      <c r="AQ107" s="298"/>
      <c r="AR107" s="298"/>
      <c r="AS107" s="298"/>
      <c r="AT107" s="298"/>
      <c r="AU107" s="298"/>
      <c r="AV107" s="298"/>
      <c r="AW107" s="298"/>
      <c r="AX107" s="298"/>
      <c r="AY107" s="298"/>
      <c r="AZ107" s="298"/>
      <c r="BA107" s="298"/>
      <c r="BB107" s="298"/>
      <c r="BC107" s="499"/>
      <c r="BD107" s="499"/>
      <c r="BE107" s="499"/>
      <c r="BF107" s="298"/>
      <c r="BG107" s="298"/>
      <c r="BH107" s="298"/>
      <c r="BI107" s="712"/>
      <c r="BJ107" s="712"/>
      <c r="BK107" s="712"/>
      <c r="BL107" s="714"/>
      <c r="BM107" s="712"/>
      <c r="BN107" s="712"/>
      <c r="BO107" s="712"/>
      <c r="BP107" s="714"/>
      <c r="BQ107" s="714"/>
      <c r="BR107" s="712"/>
      <c r="BS107" s="712"/>
      <c r="BT107" s="712"/>
      <c r="BU107" s="714"/>
      <c r="BV107" s="714"/>
      <c r="BW107" s="712"/>
      <c r="BX107" s="712"/>
      <c r="BY107" s="714"/>
      <c r="BZ107" s="714"/>
      <c r="CA107" s="712"/>
      <c r="CB107" s="297">
        <v>6000000</v>
      </c>
      <c r="CC107" s="297">
        <v>6000</v>
      </c>
      <c r="CD107" s="712"/>
    </row>
    <row r="108" spans="1:82" ht="22.5" x14ac:dyDescent="0.2">
      <c r="A108" s="703"/>
      <c r="B108" s="292" t="s">
        <v>1411</v>
      </c>
      <c r="C108" s="293" t="s">
        <v>1412</v>
      </c>
      <c r="D108" s="314" t="s">
        <v>641</v>
      </c>
      <c r="E108" s="703"/>
      <c r="F108" s="294" t="s">
        <v>1413</v>
      </c>
      <c r="G108" s="296"/>
      <c r="H108" s="296"/>
      <c r="I108" s="296"/>
      <c r="J108" s="297"/>
      <c r="K108" s="297"/>
      <c r="L108" s="297"/>
      <c r="M108" s="296"/>
      <c r="N108" s="296"/>
      <c r="O108" s="296"/>
      <c r="P108" s="499"/>
      <c r="Q108" s="499"/>
      <c r="R108" s="499"/>
      <c r="S108" s="499"/>
      <c r="T108" s="499"/>
      <c r="U108" s="499"/>
      <c r="V108" s="499"/>
      <c r="W108" s="499"/>
      <c r="X108" s="499"/>
      <c r="Y108" s="499"/>
      <c r="Z108" s="499"/>
      <c r="AA108" s="499"/>
      <c r="AB108" s="499">
        <f t="shared" si="35"/>
        <v>25000</v>
      </c>
      <c r="AC108" s="499">
        <f t="shared" si="35"/>
        <v>0</v>
      </c>
      <c r="AD108" s="499">
        <f t="shared" si="35"/>
        <v>25000</v>
      </c>
      <c r="AE108" s="499">
        <v>25000</v>
      </c>
      <c r="AF108" s="499"/>
      <c r="AG108" s="499">
        <f t="shared" si="34"/>
        <v>25000</v>
      </c>
      <c r="AH108" s="299"/>
      <c r="AI108" s="296"/>
      <c r="AJ108" s="298"/>
      <c r="AK108" s="298"/>
      <c r="AL108" s="298"/>
      <c r="AM108" s="298"/>
      <c r="AN108" s="298"/>
      <c r="AO108" s="298"/>
      <c r="AP108" s="298"/>
      <c r="AQ108" s="298"/>
      <c r="AR108" s="298"/>
      <c r="AS108" s="298"/>
      <c r="AT108" s="298"/>
      <c r="AU108" s="298"/>
      <c r="AV108" s="298"/>
      <c r="AW108" s="298"/>
      <c r="AX108" s="298"/>
      <c r="AY108" s="298"/>
      <c r="AZ108" s="298"/>
      <c r="BA108" s="298"/>
      <c r="BB108" s="298"/>
      <c r="BC108" s="499"/>
      <c r="BD108" s="499"/>
      <c r="BE108" s="499"/>
      <c r="BF108" s="298"/>
      <c r="BG108" s="298"/>
      <c r="BH108" s="298"/>
      <c r="BI108" s="712"/>
      <c r="BJ108" s="712"/>
      <c r="BK108" s="712"/>
      <c r="BL108" s="714"/>
      <c r="BM108" s="712"/>
      <c r="BN108" s="712"/>
      <c r="BO108" s="712"/>
      <c r="BP108" s="714"/>
      <c r="BQ108" s="714"/>
      <c r="BR108" s="712"/>
      <c r="BS108" s="712"/>
      <c r="BT108" s="712"/>
      <c r="BU108" s="714"/>
      <c r="BV108" s="714"/>
      <c r="BW108" s="712"/>
      <c r="BX108" s="712"/>
      <c r="BY108" s="714"/>
      <c r="BZ108" s="714"/>
      <c r="CA108" s="712"/>
      <c r="CB108" s="297">
        <v>25000000</v>
      </c>
      <c r="CC108" s="297">
        <v>25000</v>
      </c>
      <c r="CD108" s="712"/>
    </row>
    <row r="109" spans="1:82" ht="22.5" x14ac:dyDescent="0.2">
      <c r="A109" s="703"/>
      <c r="B109" s="292" t="s">
        <v>1402</v>
      </c>
      <c r="C109" s="293" t="s">
        <v>1414</v>
      </c>
      <c r="D109" s="303"/>
      <c r="E109" s="703"/>
      <c r="F109" s="294" t="s">
        <v>1415</v>
      </c>
      <c r="G109" s="296"/>
      <c r="H109" s="296"/>
      <c r="I109" s="296"/>
      <c r="J109" s="297"/>
      <c r="K109" s="297"/>
      <c r="L109" s="297"/>
      <c r="M109" s="296"/>
      <c r="N109" s="296"/>
      <c r="O109" s="296"/>
      <c r="P109" s="499"/>
      <c r="Q109" s="499"/>
      <c r="R109" s="499"/>
      <c r="S109" s="499"/>
      <c r="T109" s="499"/>
      <c r="U109" s="499"/>
      <c r="V109" s="499"/>
      <c r="W109" s="499"/>
      <c r="X109" s="499"/>
      <c r="Y109" s="499"/>
      <c r="Z109" s="499"/>
      <c r="AA109" s="499"/>
      <c r="AB109" s="499">
        <f t="shared" si="35"/>
        <v>250</v>
      </c>
      <c r="AC109" s="499">
        <f t="shared" si="35"/>
        <v>0</v>
      </c>
      <c r="AD109" s="499">
        <f t="shared" si="35"/>
        <v>250</v>
      </c>
      <c r="AE109" s="499">
        <v>250</v>
      </c>
      <c r="AF109" s="499"/>
      <c r="AG109" s="499">
        <f t="shared" si="34"/>
        <v>250</v>
      </c>
      <c r="AH109" s="299"/>
      <c r="AI109" s="296"/>
      <c r="AJ109" s="298"/>
      <c r="AK109" s="298"/>
      <c r="AL109" s="298"/>
      <c r="AM109" s="298"/>
      <c r="AN109" s="298"/>
      <c r="AO109" s="298"/>
      <c r="AP109" s="298"/>
      <c r="AQ109" s="298"/>
      <c r="AR109" s="298"/>
      <c r="AS109" s="298"/>
      <c r="AT109" s="298"/>
      <c r="AU109" s="298"/>
      <c r="AV109" s="298"/>
      <c r="AW109" s="298"/>
      <c r="AX109" s="298"/>
      <c r="AY109" s="298"/>
      <c r="AZ109" s="298"/>
      <c r="BA109" s="298"/>
      <c r="BB109" s="298"/>
      <c r="BC109" s="499"/>
      <c r="BD109" s="499"/>
      <c r="BE109" s="499"/>
      <c r="BF109" s="298"/>
      <c r="BG109" s="298"/>
      <c r="BH109" s="298"/>
      <c r="BI109" s="712"/>
      <c r="BJ109" s="712"/>
      <c r="BK109" s="712"/>
      <c r="BL109" s="714"/>
      <c r="BM109" s="712"/>
      <c r="BN109" s="712"/>
      <c r="BO109" s="712"/>
      <c r="BP109" s="714"/>
      <c r="BQ109" s="714"/>
      <c r="BR109" s="712"/>
      <c r="BS109" s="712"/>
      <c r="BT109" s="712"/>
      <c r="BU109" s="714"/>
      <c r="BV109" s="714"/>
      <c r="BW109" s="712"/>
      <c r="BX109" s="712"/>
      <c r="BY109" s="714"/>
      <c r="BZ109" s="714"/>
      <c r="CA109" s="712"/>
      <c r="CB109" s="297">
        <v>250000</v>
      </c>
      <c r="CC109" s="297">
        <v>250</v>
      </c>
      <c r="CD109" s="712"/>
    </row>
    <row r="110" spans="1:82" ht="22.5" x14ac:dyDescent="0.2">
      <c r="A110" s="703"/>
      <c r="B110" s="292" t="s">
        <v>1416</v>
      </c>
      <c r="C110" s="293" t="s">
        <v>723</v>
      </c>
      <c r="D110" s="314"/>
      <c r="E110" s="702" t="s">
        <v>724</v>
      </c>
      <c r="F110" s="294" t="s">
        <v>1417</v>
      </c>
      <c r="G110" s="296">
        <v>66847</v>
      </c>
      <c r="H110" s="296">
        <v>18049</v>
      </c>
      <c r="I110" s="296">
        <f>SUM(G110:H110)</f>
        <v>84896</v>
      </c>
      <c r="J110" s="297">
        <f t="shared" ref="J110:L118" si="36">M110-G110</f>
        <v>0</v>
      </c>
      <c r="K110" s="297">
        <f t="shared" si="36"/>
        <v>0</v>
      </c>
      <c r="L110" s="297">
        <f t="shared" si="36"/>
        <v>0</v>
      </c>
      <c r="M110" s="296">
        <v>66847</v>
      </c>
      <c r="N110" s="296">
        <v>18049</v>
      </c>
      <c r="O110" s="296">
        <f t="shared" si="32"/>
        <v>84896</v>
      </c>
      <c r="P110" s="499">
        <f t="shared" si="30"/>
        <v>0</v>
      </c>
      <c r="Q110" s="499">
        <f t="shared" si="30"/>
        <v>0</v>
      </c>
      <c r="R110" s="499">
        <f t="shared" si="30"/>
        <v>0</v>
      </c>
      <c r="S110" s="499">
        <v>66847</v>
      </c>
      <c r="T110" s="499">
        <v>18049</v>
      </c>
      <c r="U110" s="499">
        <f t="shared" si="33"/>
        <v>84896</v>
      </c>
      <c r="V110" s="499"/>
      <c r="W110" s="499"/>
      <c r="X110" s="499"/>
      <c r="Y110" s="499">
        <v>66847</v>
      </c>
      <c r="Z110" s="499">
        <v>18049</v>
      </c>
      <c r="AA110" s="499">
        <v>84896</v>
      </c>
      <c r="AB110" s="499">
        <f t="shared" si="35"/>
        <v>0</v>
      </c>
      <c r="AC110" s="499">
        <f t="shared" si="35"/>
        <v>0</v>
      </c>
      <c r="AD110" s="499">
        <f t="shared" si="35"/>
        <v>0</v>
      </c>
      <c r="AE110" s="499">
        <v>66847</v>
      </c>
      <c r="AF110" s="499">
        <v>18049</v>
      </c>
      <c r="AG110" s="499">
        <v>84896</v>
      </c>
      <c r="AH110" s="299"/>
      <c r="AI110" s="296"/>
      <c r="AJ110" s="298"/>
      <c r="AK110" s="298"/>
      <c r="AL110" s="298"/>
      <c r="AM110" s="298"/>
      <c r="AN110" s="298"/>
      <c r="AO110" s="298"/>
      <c r="AP110" s="298"/>
      <c r="AQ110" s="298"/>
      <c r="AR110" s="298"/>
      <c r="AS110" s="298"/>
      <c r="AT110" s="298"/>
      <c r="AU110" s="298"/>
      <c r="AV110" s="298"/>
      <c r="AW110" s="298"/>
      <c r="AX110" s="298"/>
      <c r="AY110" s="298"/>
      <c r="AZ110" s="298"/>
      <c r="BA110" s="298"/>
      <c r="BB110" s="298"/>
      <c r="BC110" s="499"/>
      <c r="BD110" s="499"/>
      <c r="BE110" s="499"/>
      <c r="BF110" s="298"/>
      <c r="BG110" s="298"/>
      <c r="BH110" s="298"/>
      <c r="BI110" s="712"/>
      <c r="BJ110" s="712"/>
      <c r="BK110" s="712"/>
      <c r="BL110" s="714"/>
      <c r="BM110" s="712"/>
      <c r="BN110" s="712"/>
      <c r="BO110" s="712"/>
      <c r="BP110" s="714"/>
      <c r="BQ110" s="714"/>
      <c r="BR110" s="712"/>
      <c r="BS110" s="712"/>
      <c r="BT110" s="712"/>
      <c r="BU110" s="714"/>
      <c r="BV110" s="714"/>
      <c r="BW110" s="712"/>
      <c r="BX110" s="712"/>
      <c r="BY110" s="714"/>
      <c r="BZ110" s="714"/>
      <c r="CA110" s="712"/>
      <c r="CB110" s="297">
        <v>66846866.141732283</v>
      </c>
      <c r="CC110" s="297">
        <v>84896</v>
      </c>
      <c r="CD110" s="712"/>
    </row>
    <row r="111" spans="1:82" ht="22.5" x14ac:dyDescent="0.2">
      <c r="A111" s="703"/>
      <c r="B111" s="292" t="s">
        <v>1416</v>
      </c>
      <c r="C111" s="318" t="s">
        <v>725</v>
      </c>
      <c r="D111" s="319"/>
      <c r="E111" s="703"/>
      <c r="F111" s="294" t="s">
        <v>1418</v>
      </c>
      <c r="G111" s="296">
        <v>39384</v>
      </c>
      <c r="H111" s="296">
        <v>10634</v>
      </c>
      <c r="I111" s="296">
        <f>SUM(G111:H111)</f>
        <v>50018</v>
      </c>
      <c r="J111" s="297">
        <f t="shared" si="36"/>
        <v>0</v>
      </c>
      <c r="K111" s="297">
        <f t="shared" si="36"/>
        <v>0</v>
      </c>
      <c r="L111" s="297">
        <f t="shared" si="36"/>
        <v>0</v>
      </c>
      <c r="M111" s="296">
        <v>39384</v>
      </c>
      <c r="N111" s="296">
        <v>10634</v>
      </c>
      <c r="O111" s="296">
        <f t="shared" si="32"/>
        <v>50018</v>
      </c>
      <c r="P111" s="499">
        <f t="shared" si="30"/>
        <v>0</v>
      </c>
      <c r="Q111" s="499">
        <f t="shared" si="30"/>
        <v>0</v>
      </c>
      <c r="R111" s="499">
        <f t="shared" si="30"/>
        <v>0</v>
      </c>
      <c r="S111" s="499">
        <v>39384</v>
      </c>
      <c r="T111" s="499">
        <v>10634</v>
      </c>
      <c r="U111" s="499">
        <f t="shared" si="33"/>
        <v>50018</v>
      </c>
      <c r="V111" s="499"/>
      <c r="W111" s="499"/>
      <c r="X111" s="499"/>
      <c r="Y111" s="499">
        <v>39384</v>
      </c>
      <c r="Z111" s="499">
        <v>10634</v>
      </c>
      <c r="AA111" s="499">
        <v>50018</v>
      </c>
      <c r="AB111" s="499">
        <f t="shared" si="35"/>
        <v>0</v>
      </c>
      <c r="AC111" s="499">
        <f t="shared" si="35"/>
        <v>0</v>
      </c>
      <c r="AD111" s="499">
        <f t="shared" si="35"/>
        <v>0</v>
      </c>
      <c r="AE111" s="499">
        <v>39384</v>
      </c>
      <c r="AF111" s="499">
        <v>10634</v>
      </c>
      <c r="AG111" s="499">
        <v>50018</v>
      </c>
      <c r="AH111" s="299"/>
      <c r="AI111" s="296"/>
      <c r="AJ111" s="298"/>
      <c r="AK111" s="298"/>
      <c r="AL111" s="298"/>
      <c r="AM111" s="298"/>
      <c r="AN111" s="298"/>
      <c r="AO111" s="298"/>
      <c r="AP111" s="298"/>
      <c r="AQ111" s="298"/>
      <c r="AR111" s="298"/>
      <c r="AS111" s="298"/>
      <c r="AT111" s="298"/>
      <c r="AU111" s="298"/>
      <c r="AV111" s="298"/>
      <c r="AW111" s="298"/>
      <c r="AX111" s="298"/>
      <c r="AY111" s="298"/>
      <c r="AZ111" s="298"/>
      <c r="BA111" s="298"/>
      <c r="BB111" s="298"/>
      <c r="BC111" s="499"/>
      <c r="BD111" s="499"/>
      <c r="BE111" s="499"/>
      <c r="BF111" s="298"/>
      <c r="BG111" s="298"/>
      <c r="BH111" s="298"/>
      <c r="BI111" s="712"/>
      <c r="BJ111" s="712"/>
      <c r="BK111" s="712"/>
      <c r="BL111" s="714"/>
      <c r="BM111" s="712"/>
      <c r="BN111" s="712"/>
      <c r="BO111" s="712"/>
      <c r="BP111" s="714"/>
      <c r="BQ111" s="714"/>
      <c r="BR111" s="712"/>
      <c r="BS111" s="712"/>
      <c r="BT111" s="712"/>
      <c r="BU111" s="714"/>
      <c r="BV111" s="714"/>
      <c r="BW111" s="712"/>
      <c r="BX111" s="712"/>
      <c r="BY111" s="714"/>
      <c r="BZ111" s="714"/>
      <c r="CA111" s="712"/>
      <c r="CB111" s="297">
        <v>39383811.023622043</v>
      </c>
      <c r="CC111" s="297">
        <v>50018</v>
      </c>
      <c r="CD111" s="712"/>
    </row>
    <row r="112" spans="1:82" ht="16.5" customHeight="1" x14ac:dyDescent="0.2">
      <c r="A112" s="703"/>
      <c r="B112" s="292" t="s">
        <v>1416</v>
      </c>
      <c r="C112" s="318" t="s">
        <v>726</v>
      </c>
      <c r="D112" s="319"/>
      <c r="E112" s="703"/>
      <c r="F112" s="294" t="s">
        <v>727</v>
      </c>
      <c r="G112" s="296"/>
      <c r="H112" s="296"/>
      <c r="I112" s="296"/>
      <c r="J112" s="499">
        <f t="shared" si="36"/>
        <v>844</v>
      </c>
      <c r="K112" s="499">
        <f t="shared" si="36"/>
        <v>228</v>
      </c>
      <c r="L112" s="499">
        <f t="shared" si="36"/>
        <v>1072</v>
      </c>
      <c r="M112" s="499">
        <v>844</v>
      </c>
      <c r="N112" s="499">
        <v>228</v>
      </c>
      <c r="O112" s="499">
        <f t="shared" si="32"/>
        <v>1072</v>
      </c>
      <c r="P112" s="499">
        <f t="shared" si="30"/>
        <v>0</v>
      </c>
      <c r="Q112" s="499">
        <f t="shared" si="30"/>
        <v>0</v>
      </c>
      <c r="R112" s="499">
        <f t="shared" si="30"/>
        <v>0</v>
      </c>
      <c r="S112" s="499">
        <v>844</v>
      </c>
      <c r="T112" s="499">
        <v>228</v>
      </c>
      <c r="U112" s="499">
        <f t="shared" si="33"/>
        <v>1072</v>
      </c>
      <c r="V112" s="499"/>
      <c r="W112" s="499"/>
      <c r="X112" s="499"/>
      <c r="Y112" s="499">
        <v>844</v>
      </c>
      <c r="Z112" s="499">
        <v>228</v>
      </c>
      <c r="AA112" s="499">
        <v>1072</v>
      </c>
      <c r="AB112" s="499">
        <f t="shared" si="35"/>
        <v>0</v>
      </c>
      <c r="AC112" s="499">
        <f t="shared" si="35"/>
        <v>0</v>
      </c>
      <c r="AD112" s="499">
        <f t="shared" si="35"/>
        <v>0</v>
      </c>
      <c r="AE112" s="499">
        <v>844</v>
      </c>
      <c r="AF112" s="499">
        <v>228</v>
      </c>
      <c r="AG112" s="499">
        <f t="shared" ref="AG112:AG126" si="37">SUM(AE112:AF112)</f>
        <v>1072</v>
      </c>
      <c r="AH112" s="299"/>
      <c r="AI112" s="296"/>
      <c r="AJ112" s="298"/>
      <c r="AK112" s="298"/>
      <c r="AL112" s="298"/>
      <c r="AM112" s="298"/>
      <c r="AN112" s="298"/>
      <c r="AO112" s="298"/>
      <c r="AP112" s="298"/>
      <c r="AQ112" s="298"/>
      <c r="AR112" s="298"/>
      <c r="AS112" s="298"/>
      <c r="AT112" s="298"/>
      <c r="AU112" s="298"/>
      <c r="AV112" s="298"/>
      <c r="AW112" s="298"/>
      <c r="AX112" s="298"/>
      <c r="AY112" s="298"/>
      <c r="AZ112" s="298"/>
      <c r="BA112" s="298"/>
      <c r="BB112" s="298"/>
      <c r="BC112" s="499"/>
      <c r="BD112" s="499"/>
      <c r="BE112" s="499"/>
      <c r="BF112" s="298"/>
      <c r="BG112" s="298"/>
      <c r="BH112" s="298"/>
      <c r="BI112" s="712"/>
      <c r="BJ112" s="712"/>
      <c r="BK112" s="712"/>
      <c r="BL112" s="714"/>
      <c r="BM112" s="712"/>
      <c r="BN112" s="712"/>
      <c r="BO112" s="712"/>
      <c r="BP112" s="714"/>
      <c r="BQ112" s="714"/>
      <c r="BR112" s="712"/>
      <c r="BS112" s="712"/>
      <c r="BT112" s="712"/>
      <c r="BU112" s="714"/>
      <c r="BV112" s="714"/>
      <c r="BW112" s="712"/>
      <c r="BX112" s="712"/>
      <c r="BY112" s="714"/>
      <c r="BZ112" s="714"/>
      <c r="CA112" s="712"/>
      <c r="CB112" s="297">
        <v>844100</v>
      </c>
      <c r="CC112" s="297">
        <v>1072</v>
      </c>
      <c r="CD112" s="712"/>
    </row>
    <row r="113" spans="1:82" ht="14.25" customHeight="1" x14ac:dyDescent="0.2">
      <c r="A113" s="703"/>
      <c r="B113" s="292" t="s">
        <v>1416</v>
      </c>
      <c r="C113" s="318" t="s">
        <v>728</v>
      </c>
      <c r="D113" s="319" t="s">
        <v>729</v>
      </c>
      <c r="E113" s="703"/>
      <c r="F113" s="294" t="s">
        <v>730</v>
      </c>
      <c r="G113" s="296"/>
      <c r="H113" s="296"/>
      <c r="I113" s="296"/>
      <c r="J113" s="499">
        <f t="shared" si="36"/>
        <v>3132</v>
      </c>
      <c r="K113" s="499">
        <f t="shared" si="36"/>
        <v>846</v>
      </c>
      <c r="L113" s="499">
        <f t="shared" si="36"/>
        <v>3978</v>
      </c>
      <c r="M113" s="499">
        <v>3132</v>
      </c>
      <c r="N113" s="499">
        <v>846</v>
      </c>
      <c r="O113" s="499">
        <f t="shared" si="32"/>
        <v>3978</v>
      </c>
      <c r="P113" s="499">
        <f t="shared" si="30"/>
        <v>0</v>
      </c>
      <c r="Q113" s="499">
        <f t="shared" si="30"/>
        <v>0</v>
      </c>
      <c r="R113" s="499">
        <f t="shared" si="30"/>
        <v>0</v>
      </c>
      <c r="S113" s="499">
        <v>3132</v>
      </c>
      <c r="T113" s="499">
        <v>846</v>
      </c>
      <c r="U113" s="499">
        <f t="shared" si="33"/>
        <v>3978</v>
      </c>
      <c r="V113" s="499"/>
      <c r="W113" s="499"/>
      <c r="X113" s="499"/>
      <c r="Y113" s="499">
        <v>3132</v>
      </c>
      <c r="Z113" s="499">
        <v>846</v>
      </c>
      <c r="AA113" s="499">
        <v>3978</v>
      </c>
      <c r="AB113" s="499">
        <f t="shared" si="35"/>
        <v>0</v>
      </c>
      <c r="AC113" s="499">
        <f t="shared" si="35"/>
        <v>-846</v>
      </c>
      <c r="AD113" s="499">
        <f t="shared" si="35"/>
        <v>-846</v>
      </c>
      <c r="AE113" s="499">
        <v>3132</v>
      </c>
      <c r="AF113" s="499">
        <v>0</v>
      </c>
      <c r="AG113" s="499">
        <f t="shared" si="37"/>
        <v>3132</v>
      </c>
      <c r="AH113" s="299"/>
      <c r="AI113" s="296"/>
      <c r="AJ113" s="298"/>
      <c r="AK113" s="298"/>
      <c r="AL113" s="298"/>
      <c r="AM113" s="298"/>
      <c r="AN113" s="298"/>
      <c r="AO113" s="298"/>
      <c r="AP113" s="298"/>
      <c r="AQ113" s="298"/>
      <c r="AR113" s="298"/>
      <c r="AS113" s="298"/>
      <c r="AT113" s="298"/>
      <c r="AU113" s="298"/>
      <c r="AV113" s="298"/>
      <c r="AW113" s="298"/>
      <c r="AX113" s="298"/>
      <c r="AY113" s="298"/>
      <c r="AZ113" s="298"/>
      <c r="BA113" s="298"/>
      <c r="BB113" s="298"/>
      <c r="BC113" s="499"/>
      <c r="BD113" s="499"/>
      <c r="BE113" s="499"/>
      <c r="BF113" s="298"/>
      <c r="BG113" s="298"/>
      <c r="BH113" s="298"/>
      <c r="BI113" s="712"/>
      <c r="BJ113" s="712"/>
      <c r="BK113" s="712"/>
      <c r="BL113" s="714"/>
      <c r="BM113" s="712"/>
      <c r="BN113" s="712"/>
      <c r="BO113" s="712"/>
      <c r="BP113" s="714"/>
      <c r="BQ113" s="714"/>
      <c r="BR113" s="712"/>
      <c r="BS113" s="712"/>
      <c r="BT113" s="712"/>
      <c r="BU113" s="714"/>
      <c r="BV113" s="714"/>
      <c r="BW113" s="712"/>
      <c r="BX113" s="712"/>
      <c r="BY113" s="714"/>
      <c r="BZ113" s="714"/>
      <c r="CA113" s="712"/>
      <c r="CB113" s="297">
        <v>3132000</v>
      </c>
      <c r="CC113" s="297">
        <v>3132</v>
      </c>
      <c r="CD113" s="712"/>
    </row>
    <row r="114" spans="1:82" ht="22.5" x14ac:dyDescent="0.2">
      <c r="A114" s="703"/>
      <c r="B114" s="292" t="s">
        <v>1416</v>
      </c>
      <c r="C114" s="293" t="s">
        <v>731</v>
      </c>
      <c r="D114" s="319"/>
      <c r="E114" s="703"/>
      <c r="F114" s="294" t="s">
        <v>1419</v>
      </c>
      <c r="G114" s="296"/>
      <c r="H114" s="296"/>
      <c r="I114" s="296"/>
      <c r="J114" s="499">
        <f t="shared" si="36"/>
        <v>133872</v>
      </c>
      <c r="K114" s="499">
        <f t="shared" si="36"/>
        <v>36145</v>
      </c>
      <c r="L114" s="499">
        <f t="shared" si="36"/>
        <v>170017</v>
      </c>
      <c r="M114" s="499">
        <v>133872</v>
      </c>
      <c r="N114" s="499">
        <v>36145</v>
      </c>
      <c r="O114" s="499">
        <f t="shared" si="32"/>
        <v>170017</v>
      </c>
      <c r="P114" s="499">
        <f t="shared" si="30"/>
        <v>0</v>
      </c>
      <c r="Q114" s="499">
        <f t="shared" si="30"/>
        <v>0</v>
      </c>
      <c r="R114" s="499">
        <f t="shared" si="30"/>
        <v>0</v>
      </c>
      <c r="S114" s="499">
        <v>133872</v>
      </c>
      <c r="T114" s="499">
        <v>36145</v>
      </c>
      <c r="U114" s="499">
        <f t="shared" si="33"/>
        <v>170017</v>
      </c>
      <c r="V114" s="499"/>
      <c r="W114" s="499"/>
      <c r="X114" s="499"/>
      <c r="Y114" s="499">
        <v>133872</v>
      </c>
      <c r="Z114" s="499">
        <v>36145</v>
      </c>
      <c r="AA114" s="499">
        <v>170017</v>
      </c>
      <c r="AB114" s="499">
        <f t="shared" si="35"/>
        <v>0</v>
      </c>
      <c r="AC114" s="499">
        <f t="shared" si="35"/>
        <v>0</v>
      </c>
      <c r="AD114" s="499">
        <f t="shared" si="35"/>
        <v>0</v>
      </c>
      <c r="AE114" s="499">
        <v>133872</v>
      </c>
      <c r="AF114" s="499">
        <v>36145</v>
      </c>
      <c r="AG114" s="499">
        <f t="shared" si="37"/>
        <v>170017</v>
      </c>
      <c r="AH114" s="299"/>
      <c r="AI114" s="296"/>
      <c r="AJ114" s="298"/>
      <c r="AK114" s="298"/>
      <c r="AL114" s="298"/>
      <c r="AM114" s="298"/>
      <c r="AN114" s="298"/>
      <c r="AO114" s="298"/>
      <c r="AP114" s="298"/>
      <c r="AQ114" s="298"/>
      <c r="AR114" s="298"/>
      <c r="AS114" s="298"/>
      <c r="AT114" s="298"/>
      <c r="AU114" s="298"/>
      <c r="AV114" s="298"/>
      <c r="AW114" s="298"/>
      <c r="AX114" s="298"/>
      <c r="AY114" s="298"/>
      <c r="AZ114" s="298"/>
      <c r="BA114" s="298"/>
      <c r="BB114" s="298"/>
      <c r="BC114" s="499"/>
      <c r="BD114" s="499"/>
      <c r="BE114" s="499"/>
      <c r="BF114" s="298"/>
      <c r="BG114" s="298"/>
      <c r="BH114" s="298"/>
      <c r="BI114" s="712"/>
      <c r="BJ114" s="712"/>
      <c r="BK114" s="712"/>
      <c r="BL114" s="714"/>
      <c r="BM114" s="712"/>
      <c r="BN114" s="712"/>
      <c r="BO114" s="712"/>
      <c r="BP114" s="714"/>
      <c r="BQ114" s="714"/>
      <c r="BR114" s="712"/>
      <c r="BS114" s="712"/>
      <c r="BT114" s="712"/>
      <c r="BU114" s="714"/>
      <c r="BV114" s="714"/>
      <c r="BW114" s="712"/>
      <c r="BX114" s="712"/>
      <c r="BY114" s="714"/>
      <c r="BZ114" s="714"/>
      <c r="CA114" s="712"/>
      <c r="CB114" s="297">
        <v>133872000</v>
      </c>
      <c r="CC114" s="297">
        <v>170017</v>
      </c>
      <c r="CD114" s="712"/>
    </row>
    <row r="115" spans="1:82" ht="22.5" x14ac:dyDescent="0.2">
      <c r="A115" s="703"/>
      <c r="B115" s="292" t="s">
        <v>1416</v>
      </c>
      <c r="C115" s="293" t="s">
        <v>732</v>
      </c>
      <c r="D115" s="319"/>
      <c r="E115" s="703"/>
      <c r="F115" s="294" t="s">
        <v>733</v>
      </c>
      <c r="G115" s="296"/>
      <c r="H115" s="296"/>
      <c r="I115" s="296"/>
      <c r="J115" s="499">
        <f t="shared" si="36"/>
        <v>680</v>
      </c>
      <c r="K115" s="499">
        <f t="shared" si="36"/>
        <v>184</v>
      </c>
      <c r="L115" s="499">
        <f t="shared" si="36"/>
        <v>864</v>
      </c>
      <c r="M115" s="499">
        <v>680</v>
      </c>
      <c r="N115" s="499">
        <v>184</v>
      </c>
      <c r="O115" s="499">
        <f t="shared" si="32"/>
        <v>864</v>
      </c>
      <c r="P115" s="499">
        <f t="shared" si="30"/>
        <v>0</v>
      </c>
      <c r="Q115" s="499">
        <f t="shared" si="30"/>
        <v>0</v>
      </c>
      <c r="R115" s="499">
        <f t="shared" si="30"/>
        <v>0</v>
      </c>
      <c r="S115" s="499">
        <v>680</v>
      </c>
      <c r="T115" s="499">
        <v>184</v>
      </c>
      <c r="U115" s="499">
        <f t="shared" si="33"/>
        <v>864</v>
      </c>
      <c r="V115" s="499"/>
      <c r="W115" s="499"/>
      <c r="X115" s="499"/>
      <c r="Y115" s="499">
        <v>680</v>
      </c>
      <c r="Z115" s="499">
        <v>184</v>
      </c>
      <c r="AA115" s="499">
        <v>864</v>
      </c>
      <c r="AB115" s="499">
        <f t="shared" si="35"/>
        <v>0</v>
      </c>
      <c r="AC115" s="499">
        <f t="shared" si="35"/>
        <v>0</v>
      </c>
      <c r="AD115" s="499">
        <f t="shared" si="35"/>
        <v>0</v>
      </c>
      <c r="AE115" s="499">
        <v>680</v>
      </c>
      <c r="AF115" s="499">
        <v>184</v>
      </c>
      <c r="AG115" s="499">
        <f t="shared" si="37"/>
        <v>864</v>
      </c>
      <c r="AH115" s="299"/>
      <c r="AI115" s="296"/>
      <c r="AJ115" s="298"/>
      <c r="AK115" s="298"/>
      <c r="AL115" s="298"/>
      <c r="AM115" s="298"/>
      <c r="AN115" s="298"/>
      <c r="AO115" s="298"/>
      <c r="AP115" s="298"/>
      <c r="AQ115" s="298"/>
      <c r="AR115" s="298"/>
      <c r="AS115" s="298"/>
      <c r="AT115" s="298"/>
      <c r="AU115" s="298"/>
      <c r="AV115" s="298"/>
      <c r="AW115" s="298"/>
      <c r="AX115" s="298"/>
      <c r="AY115" s="298"/>
      <c r="AZ115" s="298"/>
      <c r="BA115" s="298"/>
      <c r="BB115" s="298"/>
      <c r="BC115" s="499"/>
      <c r="BD115" s="499"/>
      <c r="BE115" s="499"/>
      <c r="BF115" s="298"/>
      <c r="BG115" s="298"/>
      <c r="BH115" s="298"/>
      <c r="BI115" s="712"/>
      <c r="BJ115" s="712"/>
      <c r="BK115" s="712"/>
      <c r="BL115" s="714"/>
      <c r="BM115" s="712"/>
      <c r="BN115" s="712"/>
      <c r="BO115" s="712"/>
      <c r="BP115" s="714"/>
      <c r="BQ115" s="714"/>
      <c r="BR115" s="712"/>
      <c r="BS115" s="712"/>
      <c r="BT115" s="712"/>
      <c r="BU115" s="714"/>
      <c r="BV115" s="714"/>
      <c r="BW115" s="712"/>
      <c r="BX115" s="712"/>
      <c r="BY115" s="714"/>
      <c r="BZ115" s="714"/>
      <c r="CA115" s="712"/>
      <c r="CB115" s="297">
        <v>680000</v>
      </c>
      <c r="CC115" s="297">
        <v>864</v>
      </c>
      <c r="CD115" s="712"/>
    </row>
    <row r="116" spans="1:82" ht="22.5" x14ac:dyDescent="0.2">
      <c r="A116" s="703"/>
      <c r="B116" s="292" t="s">
        <v>1416</v>
      </c>
      <c r="C116" s="293" t="s">
        <v>734</v>
      </c>
      <c r="D116" s="319"/>
      <c r="E116" s="703"/>
      <c r="F116" s="294" t="s">
        <v>1420</v>
      </c>
      <c r="G116" s="296"/>
      <c r="H116" s="296"/>
      <c r="I116" s="296"/>
      <c r="J116" s="499">
        <f t="shared" si="36"/>
        <v>133872</v>
      </c>
      <c r="K116" s="499">
        <f t="shared" si="36"/>
        <v>36145</v>
      </c>
      <c r="L116" s="499">
        <f t="shared" si="36"/>
        <v>170017</v>
      </c>
      <c r="M116" s="499">
        <v>133872</v>
      </c>
      <c r="N116" s="499">
        <v>36145</v>
      </c>
      <c r="O116" s="499">
        <f t="shared" si="32"/>
        <v>170017</v>
      </c>
      <c r="P116" s="499">
        <f t="shared" si="30"/>
        <v>0</v>
      </c>
      <c r="Q116" s="499">
        <f t="shared" si="30"/>
        <v>0</v>
      </c>
      <c r="R116" s="499">
        <f t="shared" si="30"/>
        <v>0</v>
      </c>
      <c r="S116" s="499">
        <v>133872</v>
      </c>
      <c r="T116" s="499">
        <v>36145</v>
      </c>
      <c r="U116" s="499">
        <f t="shared" si="33"/>
        <v>170017</v>
      </c>
      <c r="V116" s="499"/>
      <c r="W116" s="499"/>
      <c r="X116" s="499"/>
      <c r="Y116" s="499">
        <v>133872</v>
      </c>
      <c r="Z116" s="499">
        <v>36145</v>
      </c>
      <c r="AA116" s="499">
        <v>170017</v>
      </c>
      <c r="AB116" s="499">
        <f t="shared" si="35"/>
        <v>0</v>
      </c>
      <c r="AC116" s="499">
        <f t="shared" si="35"/>
        <v>0</v>
      </c>
      <c r="AD116" s="499">
        <f t="shared" si="35"/>
        <v>0</v>
      </c>
      <c r="AE116" s="499">
        <v>133872</v>
      </c>
      <c r="AF116" s="499">
        <v>36145</v>
      </c>
      <c r="AG116" s="499">
        <f t="shared" si="37"/>
        <v>170017</v>
      </c>
      <c r="AH116" s="296"/>
      <c r="AI116" s="296"/>
      <c r="AJ116" s="298"/>
      <c r="AK116" s="298"/>
      <c r="AL116" s="298"/>
      <c r="AM116" s="298"/>
      <c r="AN116" s="298"/>
      <c r="AO116" s="298"/>
      <c r="AP116" s="298"/>
      <c r="AQ116" s="298"/>
      <c r="AR116" s="298"/>
      <c r="AS116" s="298"/>
      <c r="AT116" s="298"/>
      <c r="AU116" s="298"/>
      <c r="AV116" s="298"/>
      <c r="AW116" s="298"/>
      <c r="AX116" s="298"/>
      <c r="AY116" s="298"/>
      <c r="AZ116" s="298"/>
      <c r="BA116" s="298"/>
      <c r="BB116" s="298"/>
      <c r="BC116" s="499"/>
      <c r="BD116" s="499"/>
      <c r="BE116" s="499"/>
      <c r="BF116" s="298"/>
      <c r="BG116" s="298"/>
      <c r="BH116" s="298"/>
      <c r="BI116" s="712"/>
      <c r="BJ116" s="712"/>
      <c r="BK116" s="712"/>
      <c r="BL116" s="714"/>
      <c r="BM116" s="712"/>
      <c r="BN116" s="712"/>
      <c r="BO116" s="712"/>
      <c r="BP116" s="714"/>
      <c r="BQ116" s="714"/>
      <c r="BR116" s="712"/>
      <c r="BS116" s="712"/>
      <c r="BT116" s="712"/>
      <c r="BU116" s="714"/>
      <c r="BV116" s="714"/>
      <c r="BW116" s="712"/>
      <c r="BX116" s="712"/>
      <c r="BY116" s="714"/>
      <c r="BZ116" s="714"/>
      <c r="CA116" s="712"/>
      <c r="CB116" s="297">
        <v>133872000</v>
      </c>
      <c r="CC116" s="297">
        <v>170018</v>
      </c>
      <c r="CD116" s="712"/>
    </row>
    <row r="117" spans="1:82" ht="22.5" x14ac:dyDescent="0.2">
      <c r="A117" s="703"/>
      <c r="B117" s="292" t="s">
        <v>1416</v>
      </c>
      <c r="C117" s="293" t="s">
        <v>1421</v>
      </c>
      <c r="D117" s="551"/>
      <c r="E117" s="703"/>
      <c r="F117" s="294" t="s">
        <v>1422</v>
      </c>
      <c r="G117" s="296"/>
      <c r="H117" s="296"/>
      <c r="I117" s="296"/>
      <c r="J117" s="499">
        <f t="shared" si="36"/>
        <v>3350</v>
      </c>
      <c r="K117" s="499">
        <f t="shared" si="36"/>
        <v>905</v>
      </c>
      <c r="L117" s="499">
        <f t="shared" si="36"/>
        <v>4255</v>
      </c>
      <c r="M117" s="499">
        <v>3350</v>
      </c>
      <c r="N117" s="499">
        <v>905</v>
      </c>
      <c r="O117" s="499">
        <f t="shared" si="32"/>
        <v>4255</v>
      </c>
      <c r="P117" s="499">
        <f t="shared" si="30"/>
        <v>0</v>
      </c>
      <c r="Q117" s="499">
        <f t="shared" si="30"/>
        <v>0</v>
      </c>
      <c r="R117" s="499">
        <f t="shared" si="30"/>
        <v>0</v>
      </c>
      <c r="S117" s="499">
        <v>3350</v>
      </c>
      <c r="T117" s="499">
        <v>905</v>
      </c>
      <c r="U117" s="499">
        <f t="shared" si="33"/>
        <v>4255</v>
      </c>
      <c r="V117" s="499"/>
      <c r="W117" s="499"/>
      <c r="X117" s="499"/>
      <c r="Y117" s="499">
        <v>3350</v>
      </c>
      <c r="Z117" s="499">
        <v>905</v>
      </c>
      <c r="AA117" s="499">
        <v>4255</v>
      </c>
      <c r="AB117" s="499">
        <f t="shared" si="35"/>
        <v>0</v>
      </c>
      <c r="AC117" s="499">
        <f t="shared" si="35"/>
        <v>0</v>
      </c>
      <c r="AD117" s="499">
        <f t="shared" si="35"/>
        <v>0</v>
      </c>
      <c r="AE117" s="499">
        <v>3350</v>
      </c>
      <c r="AF117" s="499">
        <v>905</v>
      </c>
      <c r="AG117" s="499">
        <f t="shared" si="37"/>
        <v>4255</v>
      </c>
      <c r="AH117" s="299"/>
      <c r="AI117" s="296"/>
      <c r="AJ117" s="298"/>
      <c r="AK117" s="298"/>
      <c r="AL117" s="298"/>
      <c r="AM117" s="298"/>
      <c r="AN117" s="298"/>
      <c r="AO117" s="298"/>
      <c r="AP117" s="298"/>
      <c r="AQ117" s="298"/>
      <c r="AR117" s="298"/>
      <c r="AS117" s="298"/>
      <c r="AT117" s="298"/>
      <c r="AU117" s="298"/>
      <c r="AV117" s="298"/>
      <c r="AW117" s="298"/>
      <c r="AX117" s="298"/>
      <c r="AY117" s="298"/>
      <c r="AZ117" s="298"/>
      <c r="BA117" s="298"/>
      <c r="BB117" s="298"/>
      <c r="BC117" s="499"/>
      <c r="BD117" s="499"/>
      <c r="BE117" s="499"/>
      <c r="BF117" s="298"/>
      <c r="BG117" s="298"/>
      <c r="BH117" s="298"/>
      <c r="BI117" s="712"/>
      <c r="BJ117" s="712"/>
      <c r="BK117" s="712"/>
      <c r="BL117" s="714"/>
      <c r="BM117" s="712"/>
      <c r="BN117" s="712"/>
      <c r="BO117" s="712"/>
      <c r="BP117" s="714"/>
      <c r="BQ117" s="714"/>
      <c r="BR117" s="712"/>
      <c r="BS117" s="712"/>
      <c r="BT117" s="712"/>
      <c r="BU117" s="714"/>
      <c r="BV117" s="714"/>
      <c r="BW117" s="712"/>
      <c r="BX117" s="712"/>
      <c r="BY117" s="714"/>
      <c r="BZ117" s="714"/>
      <c r="CA117" s="712"/>
      <c r="CB117" s="297">
        <v>3350000</v>
      </c>
      <c r="CC117" s="297">
        <v>4255</v>
      </c>
      <c r="CD117" s="712"/>
    </row>
    <row r="118" spans="1:82" ht="22.5" x14ac:dyDescent="0.2">
      <c r="A118" s="703"/>
      <c r="B118" s="292" t="s">
        <v>1416</v>
      </c>
      <c r="C118" s="293" t="s">
        <v>735</v>
      </c>
      <c r="D118" s="319"/>
      <c r="E118" s="703"/>
      <c r="F118" s="294" t="s">
        <v>736</v>
      </c>
      <c r="G118" s="296"/>
      <c r="H118" s="296"/>
      <c r="I118" s="296"/>
      <c r="J118" s="499">
        <f t="shared" si="36"/>
        <v>233</v>
      </c>
      <c r="K118" s="499">
        <f t="shared" si="36"/>
        <v>63</v>
      </c>
      <c r="L118" s="499">
        <f t="shared" si="36"/>
        <v>296</v>
      </c>
      <c r="M118" s="499">
        <v>233</v>
      </c>
      <c r="N118" s="499">
        <v>63</v>
      </c>
      <c r="O118" s="499">
        <f t="shared" si="32"/>
        <v>296</v>
      </c>
      <c r="P118" s="499">
        <f t="shared" si="30"/>
        <v>0</v>
      </c>
      <c r="Q118" s="499">
        <f t="shared" si="30"/>
        <v>0</v>
      </c>
      <c r="R118" s="499">
        <f t="shared" si="30"/>
        <v>0</v>
      </c>
      <c r="S118" s="499">
        <v>233</v>
      </c>
      <c r="T118" s="499">
        <v>63</v>
      </c>
      <c r="U118" s="499">
        <f t="shared" si="33"/>
        <v>296</v>
      </c>
      <c r="V118" s="499"/>
      <c r="W118" s="499"/>
      <c r="X118" s="499"/>
      <c r="Y118" s="499">
        <v>233</v>
      </c>
      <c r="Z118" s="499">
        <v>63</v>
      </c>
      <c r="AA118" s="499">
        <v>296</v>
      </c>
      <c r="AB118" s="499">
        <f t="shared" si="35"/>
        <v>0</v>
      </c>
      <c r="AC118" s="499">
        <f t="shared" si="35"/>
        <v>0</v>
      </c>
      <c r="AD118" s="499">
        <f t="shared" si="35"/>
        <v>0</v>
      </c>
      <c r="AE118" s="499">
        <v>233</v>
      </c>
      <c r="AF118" s="499">
        <v>63</v>
      </c>
      <c r="AG118" s="499">
        <f t="shared" si="37"/>
        <v>296</v>
      </c>
      <c r="AH118" s="299"/>
      <c r="AI118" s="296"/>
      <c r="AJ118" s="298"/>
      <c r="AK118" s="298"/>
      <c r="AL118" s="298"/>
      <c r="AM118" s="298"/>
      <c r="AN118" s="298"/>
      <c r="AO118" s="298"/>
      <c r="AP118" s="298"/>
      <c r="AQ118" s="298"/>
      <c r="AR118" s="298"/>
      <c r="AS118" s="298"/>
      <c r="AT118" s="298"/>
      <c r="AU118" s="298"/>
      <c r="AV118" s="298"/>
      <c r="AW118" s="298"/>
      <c r="AX118" s="298"/>
      <c r="AY118" s="298"/>
      <c r="AZ118" s="298"/>
      <c r="BA118" s="298"/>
      <c r="BB118" s="298"/>
      <c r="BC118" s="499"/>
      <c r="BD118" s="499"/>
      <c r="BE118" s="499"/>
      <c r="BF118" s="298"/>
      <c r="BG118" s="298"/>
      <c r="BH118" s="298"/>
      <c r="BI118" s="712"/>
      <c r="BJ118" s="712"/>
      <c r="BK118" s="712"/>
      <c r="BL118" s="714"/>
      <c r="BM118" s="712"/>
      <c r="BN118" s="712"/>
      <c r="BO118" s="712"/>
      <c r="BP118" s="714"/>
      <c r="BQ118" s="714"/>
      <c r="BR118" s="712"/>
      <c r="BS118" s="712"/>
      <c r="BT118" s="712"/>
      <c r="BU118" s="714"/>
      <c r="BV118" s="714"/>
      <c r="BW118" s="712"/>
      <c r="BX118" s="712"/>
      <c r="BY118" s="714"/>
      <c r="BZ118" s="714"/>
      <c r="CA118" s="712"/>
      <c r="CB118" s="297">
        <v>232960</v>
      </c>
      <c r="CC118" s="297">
        <v>296</v>
      </c>
      <c r="CD118" s="712"/>
    </row>
    <row r="119" spans="1:82" ht="22.5" x14ac:dyDescent="0.2">
      <c r="A119" s="703"/>
      <c r="B119" s="292" t="s">
        <v>1416</v>
      </c>
      <c r="C119" s="293" t="s">
        <v>1183</v>
      </c>
      <c r="D119" s="319"/>
      <c r="E119" s="703"/>
      <c r="F119" s="294" t="s">
        <v>1423</v>
      </c>
      <c r="G119" s="296"/>
      <c r="H119" s="296"/>
      <c r="I119" s="296"/>
      <c r="J119" s="499"/>
      <c r="K119" s="499"/>
      <c r="L119" s="499"/>
      <c r="M119" s="499"/>
      <c r="N119" s="499"/>
      <c r="O119" s="499"/>
      <c r="P119" s="499">
        <f t="shared" si="30"/>
        <v>133872</v>
      </c>
      <c r="Q119" s="499">
        <f t="shared" si="30"/>
        <v>36145</v>
      </c>
      <c r="R119" s="499">
        <f t="shared" si="30"/>
        <v>170017</v>
      </c>
      <c r="S119" s="499">
        <v>133872</v>
      </c>
      <c r="T119" s="499">
        <v>36145</v>
      </c>
      <c r="U119" s="499">
        <f t="shared" si="33"/>
        <v>170017</v>
      </c>
      <c r="V119" s="499"/>
      <c r="W119" s="499"/>
      <c r="X119" s="499"/>
      <c r="Y119" s="499">
        <v>133872</v>
      </c>
      <c r="Z119" s="499">
        <v>36145</v>
      </c>
      <c r="AA119" s="499">
        <v>170017</v>
      </c>
      <c r="AB119" s="499">
        <f t="shared" ref="AB119:AD136" si="38">AE119-S119</f>
        <v>0</v>
      </c>
      <c r="AC119" s="499">
        <f t="shared" si="38"/>
        <v>0</v>
      </c>
      <c r="AD119" s="499">
        <f t="shared" si="38"/>
        <v>0</v>
      </c>
      <c r="AE119" s="499">
        <v>133872</v>
      </c>
      <c r="AF119" s="499">
        <v>36145</v>
      </c>
      <c r="AG119" s="499">
        <f t="shared" si="37"/>
        <v>170017</v>
      </c>
      <c r="AH119" s="299"/>
      <c r="AI119" s="296"/>
      <c r="AJ119" s="298"/>
      <c r="AK119" s="298"/>
      <c r="AL119" s="298"/>
      <c r="AM119" s="298"/>
      <c r="AN119" s="298"/>
      <c r="AO119" s="298"/>
      <c r="AP119" s="298"/>
      <c r="AQ119" s="298"/>
      <c r="AR119" s="298"/>
      <c r="AS119" s="298"/>
      <c r="AT119" s="298"/>
      <c r="AU119" s="298"/>
      <c r="AV119" s="298"/>
      <c r="AW119" s="298"/>
      <c r="AX119" s="298"/>
      <c r="AY119" s="298"/>
      <c r="AZ119" s="298"/>
      <c r="BA119" s="298"/>
      <c r="BB119" s="298"/>
      <c r="BC119" s="499"/>
      <c r="BD119" s="499"/>
      <c r="BE119" s="499"/>
      <c r="BF119" s="298"/>
      <c r="BG119" s="298"/>
      <c r="BH119" s="298"/>
      <c r="BI119" s="712"/>
      <c r="BJ119" s="712"/>
      <c r="BK119" s="712"/>
      <c r="BL119" s="714"/>
      <c r="BM119" s="712"/>
      <c r="BN119" s="712"/>
      <c r="BO119" s="712"/>
      <c r="BP119" s="714"/>
      <c r="BQ119" s="714"/>
      <c r="BR119" s="712"/>
      <c r="BS119" s="712"/>
      <c r="BT119" s="712"/>
      <c r="BU119" s="714"/>
      <c r="BV119" s="714"/>
      <c r="BW119" s="712"/>
      <c r="BX119" s="712"/>
      <c r="BY119" s="714"/>
      <c r="BZ119" s="714"/>
      <c r="CA119" s="712"/>
      <c r="CB119" s="297">
        <v>133872000</v>
      </c>
      <c r="CC119" s="297">
        <v>170017</v>
      </c>
      <c r="CD119" s="712"/>
    </row>
    <row r="120" spans="1:82" ht="33.75" x14ac:dyDescent="0.2">
      <c r="A120" s="703"/>
      <c r="B120" s="292" t="s">
        <v>1416</v>
      </c>
      <c r="C120" s="293" t="s">
        <v>1184</v>
      </c>
      <c r="D120" s="319"/>
      <c r="E120" s="703"/>
      <c r="F120" s="294" t="s">
        <v>1185</v>
      </c>
      <c r="G120" s="296"/>
      <c r="H120" s="296"/>
      <c r="I120" s="296"/>
      <c r="J120" s="499"/>
      <c r="K120" s="499"/>
      <c r="L120" s="499"/>
      <c r="M120" s="499"/>
      <c r="N120" s="499"/>
      <c r="O120" s="499"/>
      <c r="P120" s="499">
        <f t="shared" si="30"/>
        <v>18484</v>
      </c>
      <c r="Q120" s="499">
        <f t="shared" si="30"/>
        <v>4990</v>
      </c>
      <c r="R120" s="499">
        <f t="shared" si="30"/>
        <v>23474</v>
      </c>
      <c r="S120" s="499">
        <v>18484</v>
      </c>
      <c r="T120" s="499">
        <v>4990</v>
      </c>
      <c r="U120" s="499">
        <f t="shared" si="33"/>
        <v>23474</v>
      </c>
      <c r="V120" s="499"/>
      <c r="W120" s="499"/>
      <c r="X120" s="499"/>
      <c r="Y120" s="499">
        <v>18484</v>
      </c>
      <c r="Z120" s="499">
        <v>4990</v>
      </c>
      <c r="AA120" s="499">
        <v>23474</v>
      </c>
      <c r="AB120" s="499">
        <f t="shared" si="38"/>
        <v>0</v>
      </c>
      <c r="AC120" s="499">
        <f t="shared" si="38"/>
        <v>0</v>
      </c>
      <c r="AD120" s="499">
        <f t="shared" si="38"/>
        <v>0</v>
      </c>
      <c r="AE120" s="499">
        <v>18484</v>
      </c>
      <c r="AF120" s="499">
        <v>4990</v>
      </c>
      <c r="AG120" s="499">
        <f t="shared" si="37"/>
        <v>23474</v>
      </c>
      <c r="AH120" s="299"/>
      <c r="AI120" s="296"/>
      <c r="AJ120" s="298"/>
      <c r="AK120" s="298"/>
      <c r="AL120" s="298"/>
      <c r="AM120" s="298"/>
      <c r="AN120" s="298"/>
      <c r="AO120" s="298"/>
      <c r="AP120" s="298"/>
      <c r="AQ120" s="298"/>
      <c r="AR120" s="298"/>
      <c r="AS120" s="298"/>
      <c r="AT120" s="298"/>
      <c r="AU120" s="298"/>
      <c r="AV120" s="298"/>
      <c r="AW120" s="298"/>
      <c r="AX120" s="298"/>
      <c r="AY120" s="298"/>
      <c r="AZ120" s="298"/>
      <c r="BA120" s="298"/>
      <c r="BB120" s="298"/>
      <c r="BC120" s="499"/>
      <c r="BD120" s="499"/>
      <c r="BE120" s="499"/>
      <c r="BF120" s="298"/>
      <c r="BG120" s="298"/>
      <c r="BH120" s="298"/>
      <c r="BI120" s="712"/>
      <c r="BJ120" s="712"/>
      <c r="BK120" s="712"/>
      <c r="BL120" s="714"/>
      <c r="BM120" s="712"/>
      <c r="BN120" s="712"/>
      <c r="BO120" s="712"/>
      <c r="BP120" s="714"/>
      <c r="BQ120" s="714"/>
      <c r="BR120" s="712"/>
      <c r="BS120" s="712"/>
      <c r="BT120" s="712"/>
      <c r="BU120" s="714"/>
      <c r="BV120" s="714"/>
      <c r="BW120" s="712"/>
      <c r="BX120" s="712"/>
      <c r="BY120" s="714"/>
      <c r="BZ120" s="714"/>
      <c r="CA120" s="712"/>
      <c r="CB120" s="297">
        <v>18483600</v>
      </c>
      <c r="CC120" s="297">
        <v>23474</v>
      </c>
      <c r="CD120" s="712"/>
    </row>
    <row r="121" spans="1:82" ht="22.5" x14ac:dyDescent="0.2">
      <c r="A121" s="703"/>
      <c r="B121" s="292" t="s">
        <v>1416</v>
      </c>
      <c r="C121" s="293" t="s">
        <v>1186</v>
      </c>
      <c r="D121" s="319"/>
      <c r="E121" s="703"/>
      <c r="F121" s="294" t="s">
        <v>1187</v>
      </c>
      <c r="G121" s="296"/>
      <c r="H121" s="296"/>
      <c r="I121" s="296"/>
      <c r="J121" s="499"/>
      <c r="K121" s="499"/>
      <c r="L121" s="499"/>
      <c r="M121" s="499"/>
      <c r="N121" s="499"/>
      <c r="O121" s="499"/>
      <c r="P121" s="499">
        <f t="shared" si="30"/>
        <v>1217</v>
      </c>
      <c r="Q121" s="499">
        <f t="shared" si="30"/>
        <v>329</v>
      </c>
      <c r="R121" s="499">
        <f t="shared" si="30"/>
        <v>1546</v>
      </c>
      <c r="S121" s="499">
        <v>1217</v>
      </c>
      <c r="T121" s="499">
        <v>329</v>
      </c>
      <c r="U121" s="499">
        <f t="shared" si="33"/>
        <v>1546</v>
      </c>
      <c r="V121" s="499"/>
      <c r="W121" s="499"/>
      <c r="X121" s="499"/>
      <c r="Y121" s="499">
        <v>1217</v>
      </c>
      <c r="Z121" s="499">
        <v>329</v>
      </c>
      <c r="AA121" s="499">
        <v>1546</v>
      </c>
      <c r="AB121" s="499">
        <f t="shared" si="38"/>
        <v>0</v>
      </c>
      <c r="AC121" s="499">
        <f t="shared" si="38"/>
        <v>0</v>
      </c>
      <c r="AD121" s="499">
        <f t="shared" si="38"/>
        <v>0</v>
      </c>
      <c r="AE121" s="499">
        <v>1217</v>
      </c>
      <c r="AF121" s="499">
        <v>329</v>
      </c>
      <c r="AG121" s="499">
        <f t="shared" si="37"/>
        <v>1546</v>
      </c>
      <c r="AH121" s="299"/>
      <c r="AI121" s="296"/>
      <c r="AJ121" s="298"/>
      <c r="AK121" s="298"/>
      <c r="AL121" s="298"/>
      <c r="AM121" s="298"/>
      <c r="AN121" s="298"/>
      <c r="AO121" s="298"/>
      <c r="AP121" s="298"/>
      <c r="AQ121" s="298"/>
      <c r="AR121" s="298"/>
      <c r="AS121" s="298"/>
      <c r="AT121" s="298"/>
      <c r="AU121" s="298"/>
      <c r="AV121" s="298"/>
      <c r="AW121" s="298"/>
      <c r="AX121" s="298"/>
      <c r="AY121" s="298"/>
      <c r="AZ121" s="298"/>
      <c r="BA121" s="298"/>
      <c r="BB121" s="298"/>
      <c r="BC121" s="499"/>
      <c r="BD121" s="499"/>
      <c r="BE121" s="499"/>
      <c r="BF121" s="298"/>
      <c r="BG121" s="298"/>
      <c r="BH121" s="298"/>
      <c r="BI121" s="712"/>
      <c r="BJ121" s="712"/>
      <c r="BK121" s="712"/>
      <c r="BL121" s="714"/>
      <c r="BM121" s="712"/>
      <c r="BN121" s="712"/>
      <c r="BO121" s="712"/>
      <c r="BP121" s="714"/>
      <c r="BQ121" s="714"/>
      <c r="BR121" s="712"/>
      <c r="BS121" s="712"/>
      <c r="BT121" s="712"/>
      <c r="BU121" s="714"/>
      <c r="BV121" s="714"/>
      <c r="BW121" s="712"/>
      <c r="BX121" s="712"/>
      <c r="BY121" s="714"/>
      <c r="BZ121" s="714"/>
      <c r="CA121" s="712"/>
      <c r="CB121" s="297">
        <v>1217446</v>
      </c>
      <c r="CC121" s="297">
        <v>1546</v>
      </c>
      <c r="CD121" s="712"/>
    </row>
    <row r="122" spans="1:82" ht="22.5" x14ac:dyDescent="0.2">
      <c r="A122" s="703"/>
      <c r="B122" s="292" t="s">
        <v>1416</v>
      </c>
      <c r="C122" s="293" t="s">
        <v>1188</v>
      </c>
      <c r="D122" s="319"/>
      <c r="E122" s="703"/>
      <c r="F122" s="294" t="s">
        <v>1424</v>
      </c>
      <c r="G122" s="296"/>
      <c r="H122" s="296"/>
      <c r="I122" s="296"/>
      <c r="J122" s="499"/>
      <c r="K122" s="499"/>
      <c r="L122" s="499"/>
      <c r="M122" s="499"/>
      <c r="N122" s="499"/>
      <c r="O122" s="499"/>
      <c r="P122" s="499">
        <f t="shared" si="30"/>
        <v>133872</v>
      </c>
      <c r="Q122" s="499">
        <f t="shared" si="30"/>
        <v>36145</v>
      </c>
      <c r="R122" s="499">
        <f t="shared" si="30"/>
        <v>170017</v>
      </c>
      <c r="S122" s="499">
        <v>133872</v>
      </c>
      <c r="T122" s="499">
        <v>36145</v>
      </c>
      <c r="U122" s="499">
        <f t="shared" si="33"/>
        <v>170017</v>
      </c>
      <c r="V122" s="499"/>
      <c r="W122" s="499"/>
      <c r="X122" s="499"/>
      <c r="Y122" s="499">
        <v>133872</v>
      </c>
      <c r="Z122" s="499">
        <v>36145</v>
      </c>
      <c r="AA122" s="499">
        <v>170017</v>
      </c>
      <c r="AB122" s="499">
        <f t="shared" si="38"/>
        <v>0</v>
      </c>
      <c r="AC122" s="499">
        <f t="shared" si="38"/>
        <v>0</v>
      </c>
      <c r="AD122" s="499">
        <f t="shared" si="38"/>
        <v>0</v>
      </c>
      <c r="AE122" s="499">
        <v>133872</v>
      </c>
      <c r="AF122" s="499">
        <v>36145</v>
      </c>
      <c r="AG122" s="499">
        <f t="shared" si="37"/>
        <v>170017</v>
      </c>
      <c r="AH122" s="299"/>
      <c r="AI122" s="296"/>
      <c r="AJ122" s="298"/>
      <c r="AK122" s="298"/>
      <c r="AL122" s="298"/>
      <c r="AM122" s="298"/>
      <c r="AN122" s="298"/>
      <c r="AO122" s="298"/>
      <c r="AP122" s="298"/>
      <c r="AQ122" s="298"/>
      <c r="AR122" s="298"/>
      <c r="AS122" s="298"/>
      <c r="AT122" s="298"/>
      <c r="AU122" s="298"/>
      <c r="AV122" s="298"/>
      <c r="AW122" s="298"/>
      <c r="AX122" s="298"/>
      <c r="AY122" s="298"/>
      <c r="AZ122" s="298"/>
      <c r="BA122" s="298"/>
      <c r="BB122" s="298"/>
      <c r="BC122" s="499"/>
      <c r="BD122" s="499"/>
      <c r="BE122" s="499"/>
      <c r="BF122" s="298"/>
      <c r="BG122" s="298"/>
      <c r="BH122" s="298"/>
      <c r="BI122" s="712"/>
      <c r="BJ122" s="712"/>
      <c r="BK122" s="712"/>
      <c r="BL122" s="714"/>
      <c r="BM122" s="712"/>
      <c r="BN122" s="712"/>
      <c r="BO122" s="712"/>
      <c r="BP122" s="714"/>
      <c r="BQ122" s="714"/>
      <c r="BR122" s="712"/>
      <c r="BS122" s="712"/>
      <c r="BT122" s="712"/>
      <c r="BU122" s="714"/>
      <c r="BV122" s="714"/>
      <c r="BW122" s="712"/>
      <c r="BX122" s="712"/>
      <c r="BY122" s="714"/>
      <c r="BZ122" s="714"/>
      <c r="CA122" s="712"/>
      <c r="CB122" s="297">
        <v>133872000</v>
      </c>
      <c r="CC122" s="297">
        <v>170018</v>
      </c>
      <c r="CD122" s="712"/>
    </row>
    <row r="123" spans="1:82" ht="22.5" x14ac:dyDescent="0.2">
      <c r="A123" s="703"/>
      <c r="B123" s="292" t="s">
        <v>1416</v>
      </c>
      <c r="C123" s="293" t="s">
        <v>1189</v>
      </c>
      <c r="D123" s="319"/>
      <c r="E123" s="703"/>
      <c r="F123" s="294" t="s">
        <v>1190</v>
      </c>
      <c r="G123" s="296"/>
      <c r="H123" s="296"/>
      <c r="I123" s="296"/>
      <c r="J123" s="499"/>
      <c r="K123" s="499"/>
      <c r="L123" s="499"/>
      <c r="M123" s="499"/>
      <c r="N123" s="499"/>
      <c r="O123" s="499"/>
      <c r="P123" s="499">
        <f t="shared" si="30"/>
        <v>133872</v>
      </c>
      <c r="Q123" s="499">
        <f t="shared" si="30"/>
        <v>36145</v>
      </c>
      <c r="R123" s="499">
        <f t="shared" si="30"/>
        <v>170017</v>
      </c>
      <c r="S123" s="499">
        <v>133872</v>
      </c>
      <c r="T123" s="499">
        <v>36145</v>
      </c>
      <c r="U123" s="499">
        <f t="shared" si="33"/>
        <v>170017</v>
      </c>
      <c r="V123" s="499"/>
      <c r="W123" s="499"/>
      <c r="X123" s="499"/>
      <c r="Y123" s="499">
        <v>133872</v>
      </c>
      <c r="Z123" s="499">
        <v>36145</v>
      </c>
      <c r="AA123" s="499">
        <v>170017</v>
      </c>
      <c r="AB123" s="499">
        <f t="shared" si="38"/>
        <v>-3872</v>
      </c>
      <c r="AC123" s="499">
        <f t="shared" si="38"/>
        <v>-1145</v>
      </c>
      <c r="AD123" s="499">
        <f t="shared" si="38"/>
        <v>-5017</v>
      </c>
      <c r="AE123" s="499">
        <v>130000</v>
      </c>
      <c r="AF123" s="499">
        <v>35000</v>
      </c>
      <c r="AG123" s="499">
        <f t="shared" si="37"/>
        <v>165000</v>
      </c>
      <c r="AH123" s="299"/>
      <c r="AI123" s="296"/>
      <c r="AJ123" s="298"/>
      <c r="AK123" s="298"/>
      <c r="AL123" s="298"/>
      <c r="AM123" s="298"/>
      <c r="AN123" s="298"/>
      <c r="AO123" s="298"/>
      <c r="AP123" s="298"/>
      <c r="AQ123" s="298"/>
      <c r="AR123" s="298"/>
      <c r="AS123" s="298"/>
      <c r="AT123" s="298"/>
      <c r="AU123" s="298"/>
      <c r="AV123" s="298"/>
      <c r="AW123" s="298"/>
      <c r="AX123" s="298"/>
      <c r="AY123" s="298"/>
      <c r="AZ123" s="298"/>
      <c r="BA123" s="298"/>
      <c r="BB123" s="298"/>
      <c r="BC123" s="499"/>
      <c r="BD123" s="499"/>
      <c r="BE123" s="499"/>
      <c r="BF123" s="298"/>
      <c r="BG123" s="298"/>
      <c r="BH123" s="298"/>
      <c r="BI123" s="712"/>
      <c r="BJ123" s="712"/>
      <c r="BK123" s="712"/>
      <c r="BL123" s="714"/>
      <c r="BM123" s="712"/>
      <c r="BN123" s="712"/>
      <c r="BO123" s="712"/>
      <c r="BP123" s="714"/>
      <c r="BQ123" s="714"/>
      <c r="BR123" s="712"/>
      <c r="BS123" s="712"/>
      <c r="BT123" s="712"/>
      <c r="BU123" s="714"/>
      <c r="BV123" s="714"/>
      <c r="BW123" s="712"/>
      <c r="BX123" s="712"/>
      <c r="BY123" s="714"/>
      <c r="BZ123" s="714"/>
      <c r="CA123" s="712"/>
      <c r="CB123" s="297">
        <v>129921260</v>
      </c>
      <c r="CC123" s="297">
        <v>165000</v>
      </c>
      <c r="CD123" s="712"/>
    </row>
    <row r="124" spans="1:82" ht="22.5" x14ac:dyDescent="0.2">
      <c r="A124" s="703"/>
      <c r="B124" s="292" t="s">
        <v>1416</v>
      </c>
      <c r="C124" s="293" t="s">
        <v>1191</v>
      </c>
      <c r="D124" s="319"/>
      <c r="E124" s="703"/>
      <c r="F124" s="294" t="s">
        <v>1192</v>
      </c>
      <c r="G124" s="296"/>
      <c r="H124" s="296"/>
      <c r="I124" s="296"/>
      <c r="J124" s="499"/>
      <c r="K124" s="499"/>
      <c r="L124" s="499"/>
      <c r="M124" s="499"/>
      <c r="N124" s="499"/>
      <c r="O124" s="499"/>
      <c r="P124" s="499">
        <f t="shared" si="30"/>
        <v>133872</v>
      </c>
      <c r="Q124" s="499">
        <f t="shared" si="30"/>
        <v>36145</v>
      </c>
      <c r="R124" s="499">
        <f t="shared" si="30"/>
        <v>170017</v>
      </c>
      <c r="S124" s="499">
        <v>133872</v>
      </c>
      <c r="T124" s="499">
        <v>36145</v>
      </c>
      <c r="U124" s="499">
        <f t="shared" si="33"/>
        <v>170017</v>
      </c>
      <c r="V124" s="499"/>
      <c r="W124" s="499"/>
      <c r="X124" s="499"/>
      <c r="Y124" s="499">
        <v>133872</v>
      </c>
      <c r="Z124" s="499">
        <v>36145</v>
      </c>
      <c r="AA124" s="499">
        <v>170017</v>
      </c>
      <c r="AB124" s="499">
        <f t="shared" si="38"/>
        <v>-3872</v>
      </c>
      <c r="AC124" s="499">
        <f t="shared" si="38"/>
        <v>-1145</v>
      </c>
      <c r="AD124" s="499">
        <f t="shared" si="38"/>
        <v>-5017</v>
      </c>
      <c r="AE124" s="499">
        <v>130000</v>
      </c>
      <c r="AF124" s="499">
        <v>35000</v>
      </c>
      <c r="AG124" s="499">
        <f t="shared" si="37"/>
        <v>165000</v>
      </c>
      <c r="AH124" s="299"/>
      <c r="AI124" s="296"/>
      <c r="AJ124" s="298"/>
      <c r="AK124" s="298"/>
      <c r="AL124" s="298"/>
      <c r="AM124" s="298"/>
      <c r="AN124" s="298"/>
      <c r="AO124" s="298"/>
      <c r="AP124" s="298"/>
      <c r="AQ124" s="298"/>
      <c r="AR124" s="298"/>
      <c r="AS124" s="298"/>
      <c r="AT124" s="298"/>
      <c r="AU124" s="298"/>
      <c r="AV124" s="298"/>
      <c r="AW124" s="298"/>
      <c r="AX124" s="298"/>
      <c r="AY124" s="298"/>
      <c r="AZ124" s="298"/>
      <c r="BA124" s="298"/>
      <c r="BB124" s="298"/>
      <c r="BC124" s="499"/>
      <c r="BD124" s="499"/>
      <c r="BE124" s="499"/>
      <c r="BF124" s="298"/>
      <c r="BG124" s="298"/>
      <c r="BH124" s="298"/>
      <c r="BI124" s="712"/>
      <c r="BJ124" s="712"/>
      <c r="BK124" s="712"/>
      <c r="BL124" s="714"/>
      <c r="BM124" s="712"/>
      <c r="BN124" s="712"/>
      <c r="BO124" s="712"/>
      <c r="BP124" s="714"/>
      <c r="BQ124" s="714"/>
      <c r="BR124" s="712"/>
      <c r="BS124" s="712"/>
      <c r="BT124" s="712"/>
      <c r="BU124" s="714"/>
      <c r="BV124" s="714"/>
      <c r="BW124" s="712"/>
      <c r="BX124" s="712"/>
      <c r="BY124" s="714"/>
      <c r="BZ124" s="714"/>
      <c r="CA124" s="712"/>
      <c r="CB124" s="297">
        <v>129921260</v>
      </c>
      <c r="CC124" s="297">
        <v>165000</v>
      </c>
      <c r="CD124" s="712"/>
    </row>
    <row r="125" spans="1:82" ht="22.5" x14ac:dyDescent="0.2">
      <c r="A125" s="703"/>
      <c r="B125" s="292" t="s">
        <v>1416</v>
      </c>
      <c r="C125" s="293" t="s">
        <v>1425</v>
      </c>
      <c r="D125" s="319"/>
      <c r="E125" s="703"/>
      <c r="F125" s="294" t="s">
        <v>1426</v>
      </c>
      <c r="G125" s="296"/>
      <c r="H125" s="296"/>
      <c r="I125" s="296"/>
      <c r="J125" s="499"/>
      <c r="K125" s="499"/>
      <c r="L125" s="499"/>
      <c r="M125" s="499"/>
      <c r="N125" s="499"/>
      <c r="O125" s="499"/>
      <c r="P125" s="499"/>
      <c r="Q125" s="499"/>
      <c r="R125" s="499"/>
      <c r="S125" s="499"/>
      <c r="T125" s="499"/>
      <c r="U125" s="499"/>
      <c r="V125" s="499"/>
      <c r="W125" s="499"/>
      <c r="X125" s="499"/>
      <c r="Y125" s="499"/>
      <c r="Z125" s="499"/>
      <c r="AA125" s="499"/>
      <c r="AB125" s="499">
        <f t="shared" si="38"/>
        <v>756</v>
      </c>
      <c r="AC125" s="499">
        <f t="shared" si="38"/>
        <v>204</v>
      </c>
      <c r="AD125" s="499">
        <f t="shared" si="38"/>
        <v>960</v>
      </c>
      <c r="AE125" s="499">
        <v>756</v>
      </c>
      <c r="AF125" s="499">
        <v>204</v>
      </c>
      <c r="AG125" s="499">
        <f t="shared" si="37"/>
        <v>960</v>
      </c>
      <c r="AH125" s="299"/>
      <c r="AI125" s="296"/>
      <c r="AJ125" s="298"/>
      <c r="AK125" s="298"/>
      <c r="AL125" s="298"/>
      <c r="AM125" s="298"/>
      <c r="AN125" s="298"/>
      <c r="AO125" s="298"/>
      <c r="AP125" s="298"/>
      <c r="AQ125" s="298"/>
      <c r="AR125" s="298"/>
      <c r="AS125" s="298"/>
      <c r="AT125" s="298"/>
      <c r="AU125" s="298"/>
      <c r="AV125" s="298"/>
      <c r="AW125" s="298"/>
      <c r="AX125" s="298"/>
      <c r="AY125" s="298"/>
      <c r="AZ125" s="298"/>
      <c r="BA125" s="298"/>
      <c r="BB125" s="298"/>
      <c r="BC125" s="499"/>
      <c r="BD125" s="499"/>
      <c r="BE125" s="499"/>
      <c r="BF125" s="298"/>
      <c r="BG125" s="298"/>
      <c r="BH125" s="298"/>
      <c r="BI125" s="712"/>
      <c r="BJ125" s="712"/>
      <c r="BK125" s="712"/>
      <c r="BL125" s="714"/>
      <c r="BM125" s="712"/>
      <c r="BN125" s="712"/>
      <c r="BO125" s="712"/>
      <c r="BP125" s="714"/>
      <c r="BQ125" s="714"/>
      <c r="BR125" s="712"/>
      <c r="BS125" s="712"/>
      <c r="BT125" s="712"/>
      <c r="BU125" s="714"/>
      <c r="BV125" s="714"/>
      <c r="BW125" s="712"/>
      <c r="BX125" s="712"/>
      <c r="BY125" s="714"/>
      <c r="BZ125" s="714"/>
      <c r="CA125" s="712"/>
      <c r="CB125" s="297">
        <v>756000</v>
      </c>
      <c r="CC125" s="297">
        <v>960</v>
      </c>
      <c r="CD125" s="712"/>
    </row>
    <row r="126" spans="1:82" ht="22.5" x14ac:dyDescent="0.2">
      <c r="A126" s="703"/>
      <c r="B126" s="292" t="s">
        <v>1416</v>
      </c>
      <c r="C126" s="320" t="s">
        <v>1193</v>
      </c>
      <c r="D126" s="303"/>
      <c r="E126" s="704"/>
      <c r="F126" s="317" t="s">
        <v>1194</v>
      </c>
      <c r="G126" s="296"/>
      <c r="H126" s="296"/>
      <c r="I126" s="296"/>
      <c r="J126" s="297"/>
      <c r="K126" s="297"/>
      <c r="L126" s="297"/>
      <c r="M126" s="298"/>
      <c r="N126" s="298"/>
      <c r="O126" s="499"/>
      <c r="P126" s="499">
        <f t="shared" si="30"/>
        <v>4690</v>
      </c>
      <c r="Q126" s="499">
        <f t="shared" si="30"/>
        <v>1266</v>
      </c>
      <c r="R126" s="499">
        <f t="shared" si="30"/>
        <v>5956</v>
      </c>
      <c r="S126" s="499">
        <v>4690</v>
      </c>
      <c r="T126" s="499">
        <v>1266</v>
      </c>
      <c r="U126" s="499">
        <f t="shared" si="33"/>
        <v>5956</v>
      </c>
      <c r="V126" s="499"/>
      <c r="W126" s="499"/>
      <c r="X126" s="499"/>
      <c r="Y126" s="499">
        <v>4690</v>
      </c>
      <c r="Z126" s="499">
        <v>1266</v>
      </c>
      <c r="AA126" s="499">
        <v>5956</v>
      </c>
      <c r="AB126" s="499">
        <f t="shared" si="38"/>
        <v>-4690</v>
      </c>
      <c r="AC126" s="499">
        <f t="shared" si="38"/>
        <v>-1266</v>
      </c>
      <c r="AD126" s="499">
        <f t="shared" si="38"/>
        <v>-5956</v>
      </c>
      <c r="AE126" s="499">
        <v>0</v>
      </c>
      <c r="AF126" s="499">
        <v>0</v>
      </c>
      <c r="AG126" s="499">
        <f t="shared" si="37"/>
        <v>0</v>
      </c>
      <c r="AH126" s="296"/>
      <c r="AI126" s="296"/>
      <c r="AJ126" s="298"/>
      <c r="AK126" s="499"/>
      <c r="AL126" s="499"/>
      <c r="AM126" s="499"/>
      <c r="AN126" s="298"/>
      <c r="AO126" s="298"/>
      <c r="AP126" s="298"/>
      <c r="AQ126" s="298"/>
      <c r="AR126" s="298"/>
      <c r="AS126" s="298"/>
      <c r="AT126" s="298"/>
      <c r="AU126" s="298"/>
      <c r="AV126" s="298"/>
      <c r="AW126" s="298"/>
      <c r="AX126" s="298"/>
      <c r="AY126" s="298"/>
      <c r="AZ126" s="298"/>
      <c r="BA126" s="298"/>
      <c r="BB126" s="298"/>
      <c r="BC126" s="499"/>
      <c r="BD126" s="499"/>
      <c r="BE126" s="499"/>
      <c r="BF126" s="298"/>
      <c r="BG126" s="298"/>
      <c r="BH126" s="298"/>
      <c r="BI126" s="712"/>
      <c r="BJ126" s="712"/>
      <c r="BK126" s="712"/>
      <c r="BL126" s="714"/>
      <c r="BM126" s="712"/>
      <c r="BN126" s="712"/>
      <c r="BO126" s="712"/>
      <c r="BP126" s="714"/>
      <c r="BQ126" s="714"/>
      <c r="BR126" s="712"/>
      <c r="BS126" s="712"/>
      <c r="BT126" s="712"/>
      <c r="BU126" s="714"/>
      <c r="BV126" s="714"/>
      <c r="BW126" s="712"/>
      <c r="BX126" s="712"/>
      <c r="BY126" s="714"/>
      <c r="BZ126" s="714"/>
      <c r="CA126" s="712"/>
      <c r="CB126" s="297"/>
      <c r="CC126" s="297">
        <v>0</v>
      </c>
      <c r="CD126" s="712"/>
    </row>
    <row r="127" spans="1:82" ht="25.5" customHeight="1" x14ac:dyDescent="0.2">
      <c r="A127" s="703"/>
      <c r="B127" s="292" t="s">
        <v>1416</v>
      </c>
      <c r="C127" s="293"/>
      <c r="D127" s="314"/>
      <c r="E127" s="514" t="s">
        <v>1427</v>
      </c>
      <c r="F127" s="294" t="s">
        <v>1428</v>
      </c>
      <c r="G127" s="296">
        <v>23622</v>
      </c>
      <c r="H127" s="296">
        <v>6378</v>
      </c>
      <c r="I127" s="296">
        <v>30000</v>
      </c>
      <c r="J127" s="499">
        <f t="shared" ref="J127:L139" si="39">M127-G127</f>
        <v>0</v>
      </c>
      <c r="K127" s="499">
        <f t="shared" si="39"/>
        <v>0</v>
      </c>
      <c r="L127" s="499">
        <f t="shared" si="39"/>
        <v>0</v>
      </c>
      <c r="M127" s="296">
        <v>23622</v>
      </c>
      <c r="N127" s="296">
        <v>6378</v>
      </c>
      <c r="O127" s="296">
        <v>30000</v>
      </c>
      <c r="P127" s="499">
        <f t="shared" si="30"/>
        <v>-23622</v>
      </c>
      <c r="Q127" s="499">
        <f t="shared" si="30"/>
        <v>-6378</v>
      </c>
      <c r="R127" s="499">
        <f t="shared" si="30"/>
        <v>-30000</v>
      </c>
      <c r="S127" s="499">
        <v>0</v>
      </c>
      <c r="T127" s="499">
        <v>0</v>
      </c>
      <c r="U127" s="499">
        <f>SUM(S127:T127)</f>
        <v>0</v>
      </c>
      <c r="V127" s="499"/>
      <c r="W127" s="499"/>
      <c r="X127" s="499"/>
      <c r="Y127" s="499">
        <v>0</v>
      </c>
      <c r="Z127" s="499">
        <v>0</v>
      </c>
      <c r="AA127" s="499">
        <v>0</v>
      </c>
      <c r="AB127" s="499">
        <f t="shared" si="38"/>
        <v>0</v>
      </c>
      <c r="AC127" s="499">
        <f t="shared" si="38"/>
        <v>0</v>
      </c>
      <c r="AD127" s="499">
        <f t="shared" si="38"/>
        <v>0</v>
      </c>
      <c r="AE127" s="499">
        <v>0</v>
      </c>
      <c r="AF127" s="499">
        <v>0</v>
      </c>
      <c r="AG127" s="499">
        <v>0</v>
      </c>
      <c r="AH127" s="299"/>
      <c r="AI127" s="296"/>
      <c r="AJ127" s="298"/>
      <c r="AK127" s="298"/>
      <c r="AL127" s="298"/>
      <c r="AM127" s="298"/>
      <c r="AN127" s="298"/>
      <c r="AO127" s="298"/>
      <c r="AP127" s="298"/>
      <c r="AQ127" s="298"/>
      <c r="AR127" s="298"/>
      <c r="AS127" s="298"/>
      <c r="AT127" s="298"/>
      <c r="AU127" s="298"/>
      <c r="AV127" s="298"/>
      <c r="AW127" s="298"/>
      <c r="AX127" s="298"/>
      <c r="AY127" s="298"/>
      <c r="AZ127" s="298"/>
      <c r="BA127" s="298"/>
      <c r="BB127" s="298"/>
      <c r="BC127" s="499"/>
      <c r="BD127" s="499"/>
      <c r="BE127" s="499"/>
      <c r="BF127" s="298"/>
      <c r="BG127" s="298"/>
      <c r="BH127" s="298"/>
      <c r="BI127" s="712"/>
      <c r="BJ127" s="712"/>
      <c r="BK127" s="712"/>
      <c r="BL127" s="714"/>
      <c r="BM127" s="712"/>
      <c r="BN127" s="712"/>
      <c r="BO127" s="712"/>
      <c r="BP127" s="714"/>
      <c r="BQ127" s="714"/>
      <c r="BR127" s="712"/>
      <c r="BS127" s="712"/>
      <c r="BT127" s="712"/>
      <c r="BU127" s="714"/>
      <c r="BV127" s="714"/>
      <c r="BW127" s="712"/>
      <c r="BX127" s="712"/>
      <c r="BY127" s="714"/>
      <c r="BZ127" s="714"/>
      <c r="CA127" s="712"/>
      <c r="CB127" s="297">
        <v>0</v>
      </c>
      <c r="CC127" s="297">
        <v>0</v>
      </c>
      <c r="CD127" s="712"/>
    </row>
    <row r="128" spans="1:82" ht="22.5" x14ac:dyDescent="0.2">
      <c r="A128" s="703"/>
      <c r="B128" s="292" t="s">
        <v>1429</v>
      </c>
      <c r="C128" s="293" t="s">
        <v>737</v>
      </c>
      <c r="D128" s="314"/>
      <c r="E128" s="702" t="s">
        <v>1195</v>
      </c>
      <c r="F128" s="294" t="s">
        <v>1430</v>
      </c>
      <c r="G128" s="296">
        <v>26142</v>
      </c>
      <c r="H128" s="296">
        <v>7058</v>
      </c>
      <c r="I128" s="296">
        <f>SUM(G128:H128)</f>
        <v>33200</v>
      </c>
      <c r="J128" s="499">
        <f t="shared" si="39"/>
        <v>0</v>
      </c>
      <c r="K128" s="499">
        <f t="shared" si="39"/>
        <v>0</v>
      </c>
      <c r="L128" s="499">
        <f t="shared" si="39"/>
        <v>0</v>
      </c>
      <c r="M128" s="296">
        <v>26142</v>
      </c>
      <c r="N128" s="296">
        <v>7058</v>
      </c>
      <c r="O128" s="296">
        <f>SUM(M128:N128)</f>
        <v>33200</v>
      </c>
      <c r="P128" s="499">
        <f t="shared" si="30"/>
        <v>0</v>
      </c>
      <c r="Q128" s="499">
        <f t="shared" si="30"/>
        <v>0</v>
      </c>
      <c r="R128" s="499">
        <f t="shared" si="30"/>
        <v>0</v>
      </c>
      <c r="S128" s="499">
        <v>26142</v>
      </c>
      <c r="T128" s="499">
        <v>7058</v>
      </c>
      <c r="U128" s="499">
        <f t="shared" ref="U128:U139" si="40">SUM(S128:T128)</f>
        <v>33200</v>
      </c>
      <c r="V128" s="499"/>
      <c r="W128" s="499"/>
      <c r="X128" s="499"/>
      <c r="Y128" s="499">
        <v>26142</v>
      </c>
      <c r="Z128" s="499">
        <v>7058</v>
      </c>
      <c r="AA128" s="499">
        <v>33200</v>
      </c>
      <c r="AB128" s="499">
        <f t="shared" si="38"/>
        <v>0</v>
      </c>
      <c r="AC128" s="499">
        <f t="shared" si="38"/>
        <v>0</v>
      </c>
      <c r="AD128" s="499">
        <f t="shared" si="38"/>
        <v>0</v>
      </c>
      <c r="AE128" s="499">
        <v>26142</v>
      </c>
      <c r="AF128" s="499">
        <v>7058</v>
      </c>
      <c r="AG128" s="499">
        <v>33200</v>
      </c>
      <c r="AH128" s="299"/>
      <c r="AI128" s="296"/>
      <c r="AJ128" s="298"/>
      <c r="AK128" s="298"/>
      <c r="AL128" s="298"/>
      <c r="AM128" s="298"/>
      <c r="AN128" s="298"/>
      <c r="AO128" s="298"/>
      <c r="AP128" s="298"/>
      <c r="AQ128" s="298"/>
      <c r="AR128" s="298"/>
      <c r="AS128" s="298"/>
      <c r="AT128" s="298"/>
      <c r="AU128" s="298"/>
      <c r="AV128" s="298"/>
      <c r="AW128" s="298"/>
      <c r="AX128" s="298"/>
      <c r="AY128" s="298"/>
      <c r="AZ128" s="298"/>
      <c r="BA128" s="298"/>
      <c r="BB128" s="298"/>
      <c r="BC128" s="499"/>
      <c r="BD128" s="499"/>
      <c r="BE128" s="499"/>
      <c r="BF128" s="298"/>
      <c r="BG128" s="298"/>
      <c r="BH128" s="298"/>
      <c r="BI128" s="712"/>
      <c r="BJ128" s="712"/>
      <c r="BK128" s="712"/>
      <c r="BL128" s="714"/>
      <c r="BM128" s="712"/>
      <c r="BN128" s="712"/>
      <c r="BO128" s="712"/>
      <c r="BP128" s="714"/>
      <c r="BQ128" s="714"/>
      <c r="BR128" s="712"/>
      <c r="BS128" s="712"/>
      <c r="BT128" s="712"/>
      <c r="BU128" s="714"/>
      <c r="BV128" s="714"/>
      <c r="BW128" s="712"/>
      <c r="BX128" s="712"/>
      <c r="BY128" s="714"/>
      <c r="BZ128" s="714"/>
      <c r="CA128" s="712"/>
      <c r="CB128" s="297">
        <v>26142010</v>
      </c>
      <c r="CC128" s="297">
        <v>33200</v>
      </c>
      <c r="CD128" s="712"/>
    </row>
    <row r="129" spans="1:82" ht="23.25" customHeight="1" x14ac:dyDescent="0.2">
      <c r="A129" s="703"/>
      <c r="B129" s="292" t="s">
        <v>1429</v>
      </c>
      <c r="C129" s="293" t="s">
        <v>1196</v>
      </c>
      <c r="D129" s="314"/>
      <c r="E129" s="703"/>
      <c r="F129" s="294" t="s">
        <v>1182</v>
      </c>
      <c r="G129" s="296"/>
      <c r="H129" s="296"/>
      <c r="I129" s="296"/>
      <c r="J129" s="297"/>
      <c r="K129" s="297"/>
      <c r="L129" s="297"/>
      <c r="M129" s="296"/>
      <c r="N129" s="296"/>
      <c r="O129" s="296"/>
      <c r="P129" s="499">
        <f t="shared" si="30"/>
        <v>63500</v>
      </c>
      <c r="Q129" s="499"/>
      <c r="R129" s="499">
        <f t="shared" si="30"/>
        <v>70439</v>
      </c>
      <c r="S129" s="499">
        <f>37800+25700</f>
        <v>63500</v>
      </c>
      <c r="T129" s="499">
        <v>6939</v>
      </c>
      <c r="U129" s="499">
        <v>70439</v>
      </c>
      <c r="V129" s="499"/>
      <c r="W129" s="499"/>
      <c r="X129" s="499"/>
      <c r="Y129" s="499">
        <v>63500</v>
      </c>
      <c r="Z129" s="499">
        <v>6939</v>
      </c>
      <c r="AA129" s="499">
        <v>70439</v>
      </c>
      <c r="AB129" s="499">
        <f t="shared" si="38"/>
        <v>0</v>
      </c>
      <c r="AC129" s="499">
        <f t="shared" si="38"/>
        <v>0</v>
      </c>
      <c r="AD129" s="499">
        <f t="shared" si="38"/>
        <v>0</v>
      </c>
      <c r="AE129" s="499">
        <v>63500</v>
      </c>
      <c r="AF129" s="499">
        <v>6939</v>
      </c>
      <c r="AG129" s="499">
        <v>70439</v>
      </c>
      <c r="AH129" s="299"/>
      <c r="AI129" s="296"/>
      <c r="AJ129" s="298"/>
      <c r="AK129" s="298"/>
      <c r="AL129" s="298"/>
      <c r="AM129" s="298"/>
      <c r="AN129" s="298"/>
      <c r="AO129" s="298"/>
      <c r="AP129" s="298"/>
      <c r="AQ129" s="298"/>
      <c r="AR129" s="298"/>
      <c r="AS129" s="298"/>
      <c r="AT129" s="298"/>
      <c r="AU129" s="298"/>
      <c r="AV129" s="298"/>
      <c r="AW129" s="298"/>
      <c r="AX129" s="298"/>
      <c r="AY129" s="298"/>
      <c r="AZ129" s="298"/>
      <c r="BA129" s="298"/>
      <c r="BB129" s="298"/>
      <c r="BC129" s="499"/>
      <c r="BD129" s="499"/>
      <c r="BE129" s="499"/>
      <c r="BF129" s="298"/>
      <c r="BG129" s="298"/>
      <c r="BH129" s="298"/>
      <c r="BI129" s="712"/>
      <c r="BJ129" s="712"/>
      <c r="BK129" s="712"/>
      <c r="BL129" s="714"/>
      <c r="BM129" s="712"/>
      <c r="BN129" s="712"/>
      <c r="BO129" s="712"/>
      <c r="BP129" s="714"/>
      <c r="BQ129" s="714"/>
      <c r="BR129" s="712"/>
      <c r="BS129" s="712"/>
      <c r="BT129" s="712"/>
      <c r="BU129" s="714"/>
      <c r="BV129" s="714"/>
      <c r="BW129" s="712"/>
      <c r="BX129" s="712"/>
      <c r="BY129" s="714"/>
      <c r="BZ129" s="714"/>
      <c r="CA129" s="712"/>
      <c r="CB129" s="297">
        <v>63500000</v>
      </c>
      <c r="CC129" s="297">
        <v>70439</v>
      </c>
      <c r="CD129" s="712"/>
    </row>
    <row r="130" spans="1:82" x14ac:dyDescent="0.2">
      <c r="A130" s="703"/>
      <c r="B130" s="292" t="s">
        <v>1377</v>
      </c>
      <c r="C130" s="293" t="s">
        <v>738</v>
      </c>
      <c r="D130" s="314"/>
      <c r="E130" s="702" t="s">
        <v>739</v>
      </c>
      <c r="F130" s="294" t="s">
        <v>740</v>
      </c>
      <c r="G130" s="296"/>
      <c r="H130" s="296"/>
      <c r="I130" s="296"/>
      <c r="J130" s="499">
        <f t="shared" si="39"/>
        <v>900</v>
      </c>
      <c r="K130" s="499">
        <f t="shared" si="39"/>
        <v>0</v>
      </c>
      <c r="L130" s="499">
        <f t="shared" si="39"/>
        <v>900</v>
      </c>
      <c r="M130" s="499">
        <v>900</v>
      </c>
      <c r="N130" s="499">
        <v>0</v>
      </c>
      <c r="O130" s="499">
        <f>SUM(M130:N130)</f>
        <v>900</v>
      </c>
      <c r="P130" s="499">
        <f t="shared" si="30"/>
        <v>0</v>
      </c>
      <c r="Q130" s="499">
        <f t="shared" si="30"/>
        <v>0</v>
      </c>
      <c r="R130" s="499">
        <f t="shared" si="30"/>
        <v>0</v>
      </c>
      <c r="S130" s="499">
        <v>900</v>
      </c>
      <c r="T130" s="499">
        <v>0</v>
      </c>
      <c r="U130" s="499">
        <f t="shared" si="40"/>
        <v>900</v>
      </c>
      <c r="V130" s="499"/>
      <c r="W130" s="499"/>
      <c r="X130" s="499"/>
      <c r="Y130" s="499">
        <v>900</v>
      </c>
      <c r="Z130" s="499">
        <v>0</v>
      </c>
      <c r="AA130" s="499">
        <v>900</v>
      </c>
      <c r="AB130" s="499">
        <f t="shared" si="38"/>
        <v>0</v>
      </c>
      <c r="AC130" s="499">
        <f t="shared" si="38"/>
        <v>0</v>
      </c>
      <c r="AD130" s="499">
        <f t="shared" si="38"/>
        <v>0</v>
      </c>
      <c r="AE130" s="499">
        <v>900</v>
      </c>
      <c r="AF130" s="499">
        <v>0</v>
      </c>
      <c r="AG130" s="499">
        <f>SUM(AE130:AF130)</f>
        <v>900</v>
      </c>
      <c r="AH130" s="299"/>
      <c r="AI130" s="296"/>
      <c r="AJ130" s="298"/>
      <c r="AK130" s="298"/>
      <c r="AL130" s="298"/>
      <c r="AM130" s="298"/>
      <c r="AN130" s="298"/>
      <c r="AO130" s="298"/>
      <c r="AP130" s="298"/>
      <c r="AQ130" s="298"/>
      <c r="AR130" s="298"/>
      <c r="AS130" s="298"/>
      <c r="AT130" s="298"/>
      <c r="AU130" s="298"/>
      <c r="AV130" s="298"/>
      <c r="AW130" s="298"/>
      <c r="AX130" s="298"/>
      <c r="AY130" s="298"/>
      <c r="AZ130" s="298"/>
      <c r="BA130" s="298"/>
      <c r="BB130" s="298"/>
      <c r="BC130" s="499"/>
      <c r="BD130" s="499"/>
      <c r="BE130" s="499"/>
      <c r="BF130" s="298"/>
      <c r="BG130" s="298"/>
      <c r="BH130" s="298"/>
      <c r="BI130" s="712"/>
      <c r="BJ130" s="712"/>
      <c r="BK130" s="712"/>
      <c r="BL130" s="714"/>
      <c r="BM130" s="712"/>
      <c r="BN130" s="712"/>
      <c r="BO130" s="712"/>
      <c r="BP130" s="714"/>
      <c r="BQ130" s="714"/>
      <c r="BR130" s="712"/>
      <c r="BS130" s="712"/>
      <c r="BT130" s="712"/>
      <c r="BU130" s="714"/>
      <c r="BV130" s="714"/>
      <c r="BW130" s="712"/>
      <c r="BX130" s="712"/>
      <c r="BY130" s="714"/>
      <c r="BZ130" s="714"/>
      <c r="CA130" s="712"/>
      <c r="CB130" s="297">
        <v>900000</v>
      </c>
      <c r="CC130" s="297">
        <v>900</v>
      </c>
      <c r="CD130" s="712"/>
    </row>
    <row r="131" spans="1:82" ht="22.5" x14ac:dyDescent="0.2">
      <c r="A131" s="703"/>
      <c r="B131" s="292" t="s">
        <v>1377</v>
      </c>
      <c r="C131" s="305" t="s">
        <v>1431</v>
      </c>
      <c r="D131" s="306"/>
      <c r="E131" s="704"/>
      <c r="F131" s="294" t="s">
        <v>1380</v>
      </c>
      <c r="G131" s="307"/>
      <c r="H131" s="307"/>
      <c r="I131" s="307"/>
      <c r="J131" s="502"/>
      <c r="K131" s="502"/>
      <c r="L131" s="502"/>
      <c r="M131" s="502"/>
      <c r="N131" s="502"/>
      <c r="O131" s="502"/>
      <c r="P131" s="502">
        <f t="shared" si="30"/>
        <v>4080</v>
      </c>
      <c r="Q131" s="502">
        <f t="shared" si="30"/>
        <v>0</v>
      </c>
      <c r="R131" s="502">
        <f t="shared" si="30"/>
        <v>4080</v>
      </c>
      <c r="S131" s="502">
        <v>4080</v>
      </c>
      <c r="T131" s="502"/>
      <c r="U131" s="502">
        <f t="shared" si="40"/>
        <v>4080</v>
      </c>
      <c r="V131" s="502"/>
      <c r="W131" s="502"/>
      <c r="X131" s="502"/>
      <c r="Y131" s="502">
        <v>4080</v>
      </c>
      <c r="Z131" s="502"/>
      <c r="AA131" s="502">
        <v>4080</v>
      </c>
      <c r="AB131" s="502">
        <f t="shared" si="38"/>
        <v>-1007</v>
      </c>
      <c r="AC131" s="502">
        <f t="shared" si="38"/>
        <v>807</v>
      </c>
      <c r="AD131" s="502">
        <f t="shared" si="38"/>
        <v>-200</v>
      </c>
      <c r="AE131" s="502">
        <v>3073</v>
      </c>
      <c r="AF131" s="502">
        <v>807</v>
      </c>
      <c r="AG131" s="502">
        <f>SUM(AE131:AF131)</f>
        <v>3880</v>
      </c>
      <c r="AH131" s="308"/>
      <c r="AI131" s="307"/>
      <c r="AJ131" s="309"/>
      <c r="AK131" s="309"/>
      <c r="AL131" s="309"/>
      <c r="AM131" s="309"/>
      <c r="AN131" s="309"/>
      <c r="AO131" s="309"/>
      <c r="AP131" s="309"/>
      <c r="AQ131" s="309"/>
      <c r="AR131" s="309"/>
      <c r="AS131" s="309"/>
      <c r="AT131" s="309"/>
      <c r="AU131" s="309"/>
      <c r="AV131" s="309"/>
      <c r="AW131" s="309"/>
      <c r="AX131" s="309"/>
      <c r="AY131" s="309"/>
      <c r="AZ131" s="309"/>
      <c r="BA131" s="309"/>
      <c r="BB131" s="309"/>
      <c r="BC131" s="499"/>
      <c r="BD131" s="499"/>
      <c r="BE131" s="499"/>
      <c r="BF131" s="309"/>
      <c r="BG131" s="309"/>
      <c r="BH131" s="309"/>
      <c r="BI131" s="712"/>
      <c r="BJ131" s="713"/>
      <c r="BK131" s="713"/>
      <c r="BL131" s="717"/>
      <c r="BM131" s="713"/>
      <c r="BN131" s="713"/>
      <c r="BO131" s="712"/>
      <c r="BP131" s="717"/>
      <c r="BQ131" s="714"/>
      <c r="BR131" s="712"/>
      <c r="BS131" s="713"/>
      <c r="BT131" s="713"/>
      <c r="BU131" s="717"/>
      <c r="BV131" s="717"/>
      <c r="BW131" s="713"/>
      <c r="BX131" s="712"/>
      <c r="BY131" s="717"/>
      <c r="BZ131" s="714"/>
      <c r="CA131" s="712"/>
      <c r="CB131" s="297">
        <v>3073189</v>
      </c>
      <c r="CC131" s="297">
        <v>3880</v>
      </c>
      <c r="CD131" s="712"/>
    </row>
    <row r="132" spans="1:82" ht="22.5" x14ac:dyDescent="0.2">
      <c r="A132" s="703"/>
      <c r="B132" s="292" t="s">
        <v>1372</v>
      </c>
      <c r="C132" s="305" t="s">
        <v>1432</v>
      </c>
      <c r="D132" s="306"/>
      <c r="E132" s="515"/>
      <c r="F132" s="294" t="s">
        <v>1433</v>
      </c>
      <c r="G132" s="307"/>
      <c r="H132" s="307"/>
      <c r="I132" s="307"/>
      <c r="J132" s="502"/>
      <c r="K132" s="502"/>
      <c r="L132" s="502"/>
      <c r="M132" s="502"/>
      <c r="N132" s="502"/>
      <c r="O132" s="502"/>
      <c r="P132" s="502"/>
      <c r="Q132" s="502"/>
      <c r="R132" s="502"/>
      <c r="S132" s="502"/>
      <c r="T132" s="502"/>
      <c r="U132" s="502"/>
      <c r="V132" s="502"/>
      <c r="W132" s="502"/>
      <c r="X132" s="502"/>
      <c r="Y132" s="502"/>
      <c r="Z132" s="502"/>
      <c r="AA132" s="502"/>
      <c r="AB132" s="502">
        <f t="shared" si="38"/>
        <v>48</v>
      </c>
      <c r="AC132" s="502">
        <f t="shared" si="38"/>
        <v>13</v>
      </c>
      <c r="AD132" s="502">
        <f t="shared" si="38"/>
        <v>61</v>
      </c>
      <c r="AE132" s="502">
        <v>48</v>
      </c>
      <c r="AF132" s="502">
        <v>13</v>
      </c>
      <c r="AG132" s="502">
        <f>SUM(AE132:AF132)</f>
        <v>61</v>
      </c>
      <c r="AH132" s="308"/>
      <c r="AI132" s="307"/>
      <c r="AJ132" s="309"/>
      <c r="AK132" s="309"/>
      <c r="AL132" s="309"/>
      <c r="AM132" s="309"/>
      <c r="AN132" s="309"/>
      <c r="AO132" s="309"/>
      <c r="AP132" s="309"/>
      <c r="AQ132" s="309"/>
      <c r="AR132" s="309"/>
      <c r="AS132" s="309"/>
      <c r="AT132" s="309"/>
      <c r="AU132" s="309"/>
      <c r="AV132" s="309"/>
      <c r="AW132" s="309"/>
      <c r="AX132" s="309"/>
      <c r="AY132" s="309"/>
      <c r="AZ132" s="309"/>
      <c r="BA132" s="309"/>
      <c r="BB132" s="309"/>
      <c r="BC132" s="499"/>
      <c r="BD132" s="499"/>
      <c r="BE132" s="499"/>
      <c r="BF132" s="309"/>
      <c r="BG132" s="309"/>
      <c r="BH132" s="309"/>
      <c r="BI132" s="712"/>
      <c r="BJ132" s="521"/>
      <c r="BK132" s="521"/>
      <c r="BL132" s="518"/>
      <c r="BM132" s="521"/>
      <c r="BN132" s="521"/>
      <c r="BO132" s="712"/>
      <c r="BP132" s="519"/>
      <c r="BQ132" s="714"/>
      <c r="BR132" s="712"/>
      <c r="BS132" s="521"/>
      <c r="BT132" s="521"/>
      <c r="BU132" s="518"/>
      <c r="BV132" s="518"/>
      <c r="BW132" s="521"/>
      <c r="BX132" s="712"/>
      <c r="BY132" s="519"/>
      <c r="BZ132" s="714"/>
      <c r="CA132" s="712"/>
      <c r="CB132" s="297">
        <v>48031</v>
      </c>
      <c r="CC132" s="297">
        <v>61</v>
      </c>
      <c r="CD132" s="712"/>
    </row>
    <row r="133" spans="1:82" x14ac:dyDescent="0.2">
      <c r="A133" s="703"/>
      <c r="B133" s="292" t="s">
        <v>1381</v>
      </c>
      <c r="C133" s="293" t="s">
        <v>887</v>
      </c>
      <c r="D133" s="512"/>
      <c r="E133" s="512"/>
      <c r="F133" s="310" t="s">
        <v>888</v>
      </c>
      <c r="G133" s="505"/>
      <c r="H133" s="505"/>
      <c r="I133" s="300"/>
      <c r="J133" s="300"/>
      <c r="K133" s="300"/>
      <c r="L133" s="300"/>
      <c r="M133" s="298"/>
      <c r="N133" s="298"/>
      <c r="O133" s="321"/>
      <c r="P133" s="298"/>
      <c r="Q133" s="298"/>
      <c r="R133" s="298"/>
      <c r="S133" s="298"/>
      <c r="T133" s="298"/>
      <c r="U133" s="298"/>
      <c r="V133" s="298"/>
      <c r="W133" s="298"/>
      <c r="X133" s="298"/>
      <c r="Y133" s="298"/>
      <c r="Z133" s="298"/>
      <c r="AA133" s="298">
        <v>6288</v>
      </c>
      <c r="AB133" s="298"/>
      <c r="AC133" s="298"/>
      <c r="AD133" s="298"/>
      <c r="AE133" s="298"/>
      <c r="AF133" s="298"/>
      <c r="AG133" s="298">
        <v>6288</v>
      </c>
      <c r="AH133" s="296"/>
      <c r="AI133" s="296"/>
      <c r="AJ133" s="296"/>
      <c r="AK133" s="499">
        <f t="shared" ref="AK133:AM133" si="41">AN133-AH133</f>
        <v>4951</v>
      </c>
      <c r="AL133" s="499">
        <f t="shared" si="41"/>
        <v>1337</v>
      </c>
      <c r="AM133" s="499">
        <f t="shared" si="41"/>
        <v>6288</v>
      </c>
      <c r="AN133" s="499">
        <v>4951</v>
      </c>
      <c r="AO133" s="499">
        <v>1337</v>
      </c>
      <c r="AP133" s="499">
        <f t="shared" ref="AP133" si="42">SUM(AN133:AO133)</f>
        <v>6288</v>
      </c>
      <c r="AQ133" s="499">
        <f t="shared" ref="AQ133:AS133" si="43">AT133-AN133</f>
        <v>0</v>
      </c>
      <c r="AR133" s="499">
        <f t="shared" si="43"/>
        <v>0</v>
      </c>
      <c r="AS133" s="499">
        <f t="shared" si="43"/>
        <v>0</v>
      </c>
      <c r="AT133" s="499">
        <v>4951</v>
      </c>
      <c r="AU133" s="499">
        <v>1337</v>
      </c>
      <c r="AV133" s="499">
        <f t="shared" ref="AV133" si="44">SUM(AT133:AU133)</f>
        <v>6288</v>
      </c>
      <c r="AW133" s="499"/>
      <c r="AX133" s="499"/>
      <c r="AY133" s="499"/>
      <c r="AZ133" s="499">
        <v>4951</v>
      </c>
      <c r="BA133" s="499">
        <v>1337</v>
      </c>
      <c r="BB133" s="499"/>
      <c r="BC133" s="499">
        <f t="shared" ref="BC133:BE133" si="45">BF133-AT133</f>
        <v>0</v>
      </c>
      <c r="BD133" s="499">
        <f t="shared" si="45"/>
        <v>0</v>
      </c>
      <c r="BE133" s="499">
        <f t="shared" si="45"/>
        <v>-6288</v>
      </c>
      <c r="BF133" s="499">
        <v>4951</v>
      </c>
      <c r="BG133" s="499">
        <v>1337</v>
      </c>
      <c r="BH133" s="296"/>
      <c r="BI133" s="712"/>
      <c r="BJ133" s="521"/>
      <c r="BK133" s="521"/>
      <c r="BL133" s="521"/>
      <c r="BM133" s="521"/>
      <c r="BN133" s="521"/>
      <c r="BO133" s="712"/>
      <c r="BP133" s="519"/>
      <c r="BQ133" s="714"/>
      <c r="BR133" s="712"/>
      <c r="BS133" s="518"/>
      <c r="BT133" s="521"/>
      <c r="BU133" s="518"/>
      <c r="BV133" s="518"/>
      <c r="BW133" s="521"/>
      <c r="BX133" s="712"/>
      <c r="BY133" s="519"/>
      <c r="BZ133" s="714"/>
      <c r="CA133" s="712"/>
      <c r="CB133" s="516">
        <v>4950900</v>
      </c>
      <c r="CC133" s="297">
        <v>6288</v>
      </c>
      <c r="CD133" s="712"/>
    </row>
    <row r="134" spans="1:82" ht="33.75" x14ac:dyDescent="0.2">
      <c r="A134" s="704"/>
      <c r="B134" s="322" t="s">
        <v>1434</v>
      </c>
      <c r="C134" s="305" t="s">
        <v>1435</v>
      </c>
      <c r="D134" s="306"/>
      <c r="E134" s="514" t="s">
        <v>1436</v>
      </c>
      <c r="F134" s="294" t="s">
        <v>1437</v>
      </c>
      <c r="G134" s="307"/>
      <c r="H134" s="307"/>
      <c r="I134" s="307"/>
      <c r="J134" s="502"/>
      <c r="K134" s="502"/>
      <c r="L134" s="502"/>
      <c r="M134" s="502"/>
      <c r="N134" s="502"/>
      <c r="O134" s="502"/>
      <c r="P134" s="502"/>
      <c r="Q134" s="502"/>
      <c r="R134" s="502"/>
      <c r="S134" s="502"/>
      <c r="T134" s="502"/>
      <c r="U134" s="502"/>
      <c r="V134" s="502"/>
      <c r="W134" s="502"/>
      <c r="X134" s="502"/>
      <c r="Y134" s="502"/>
      <c r="Z134" s="502"/>
      <c r="AA134" s="502"/>
      <c r="AB134" s="502">
        <f t="shared" si="38"/>
        <v>251</v>
      </c>
      <c r="AC134" s="502">
        <f t="shared" si="38"/>
        <v>67</v>
      </c>
      <c r="AD134" s="502">
        <f t="shared" si="38"/>
        <v>318</v>
      </c>
      <c r="AE134" s="502">
        <v>251</v>
      </c>
      <c r="AF134" s="502">
        <v>67</v>
      </c>
      <c r="AG134" s="502">
        <f>SUM(AE134:AF134)</f>
        <v>318</v>
      </c>
      <c r="AH134" s="308"/>
      <c r="AI134" s="307"/>
      <c r="AJ134" s="309"/>
      <c r="AK134" s="309"/>
      <c r="AL134" s="309"/>
      <c r="AM134" s="309"/>
      <c r="AN134" s="309"/>
      <c r="AO134" s="309"/>
      <c r="AP134" s="309"/>
      <c r="AQ134" s="309"/>
      <c r="AR134" s="309"/>
      <c r="AS134" s="309"/>
      <c r="AT134" s="309"/>
      <c r="AU134" s="309"/>
      <c r="AV134" s="309"/>
      <c r="AW134" s="309"/>
      <c r="AX134" s="309"/>
      <c r="AY134" s="309"/>
      <c r="AZ134" s="309"/>
      <c r="BA134" s="309"/>
      <c r="BB134" s="309"/>
      <c r="BC134" s="499"/>
      <c r="BD134" s="499"/>
      <c r="BE134" s="499"/>
      <c r="BF134" s="309"/>
      <c r="BG134" s="309"/>
      <c r="BH134" s="309"/>
      <c r="BI134" s="713"/>
      <c r="BJ134" s="521"/>
      <c r="BK134" s="521"/>
      <c r="BL134" s="518"/>
      <c r="BM134" s="521"/>
      <c r="BN134" s="521"/>
      <c r="BO134" s="713"/>
      <c r="BP134" s="518"/>
      <c r="BQ134" s="717"/>
      <c r="BR134" s="713"/>
      <c r="BS134" s="521"/>
      <c r="BT134" s="521"/>
      <c r="BU134" s="518"/>
      <c r="BV134" s="518"/>
      <c r="BW134" s="521"/>
      <c r="BX134" s="713"/>
      <c r="BY134" s="518"/>
      <c r="BZ134" s="717"/>
      <c r="CA134" s="713"/>
      <c r="CB134" s="297">
        <v>251000</v>
      </c>
      <c r="CC134" s="297">
        <v>319</v>
      </c>
      <c r="CD134" s="713"/>
    </row>
    <row r="135" spans="1:82" ht="22.5" x14ac:dyDescent="0.2">
      <c r="A135" s="702" t="s">
        <v>410</v>
      </c>
      <c r="B135" s="322" t="s">
        <v>1438</v>
      </c>
      <c r="C135" s="293" t="s">
        <v>1176</v>
      </c>
      <c r="D135" s="306"/>
      <c r="E135" s="523" t="s">
        <v>741</v>
      </c>
      <c r="F135" s="323" t="s">
        <v>1439</v>
      </c>
      <c r="G135" s="307">
        <v>1550</v>
      </c>
      <c r="H135" s="307">
        <v>419</v>
      </c>
      <c r="I135" s="307">
        <f>SUM(G135:H135)</f>
        <v>1969</v>
      </c>
      <c r="J135" s="522">
        <f t="shared" si="39"/>
        <v>0</v>
      </c>
      <c r="K135" s="522">
        <f t="shared" si="39"/>
        <v>0</v>
      </c>
      <c r="L135" s="522">
        <f t="shared" si="39"/>
        <v>0</v>
      </c>
      <c r="M135" s="307">
        <v>1550</v>
      </c>
      <c r="N135" s="307">
        <v>419</v>
      </c>
      <c r="O135" s="307">
        <f>SUM(M135:N135)</f>
        <v>1969</v>
      </c>
      <c r="P135" s="502">
        <f t="shared" si="30"/>
        <v>0</v>
      </c>
      <c r="Q135" s="502">
        <f t="shared" si="30"/>
        <v>0</v>
      </c>
      <c r="R135" s="502">
        <f t="shared" si="30"/>
        <v>0</v>
      </c>
      <c r="S135" s="502">
        <v>1550</v>
      </c>
      <c r="T135" s="502">
        <v>419</v>
      </c>
      <c r="U135" s="502">
        <f t="shared" si="40"/>
        <v>1969</v>
      </c>
      <c r="V135" s="502"/>
      <c r="W135" s="502"/>
      <c r="X135" s="502"/>
      <c r="Y135" s="502">
        <v>1550</v>
      </c>
      <c r="Z135" s="502">
        <v>419</v>
      </c>
      <c r="AA135" s="502">
        <v>1969</v>
      </c>
      <c r="AB135" s="502">
        <f t="shared" si="38"/>
        <v>0</v>
      </c>
      <c r="AC135" s="502">
        <f t="shared" si="38"/>
        <v>0</v>
      </c>
      <c r="AD135" s="502">
        <f t="shared" si="38"/>
        <v>0</v>
      </c>
      <c r="AE135" s="502">
        <v>1550</v>
      </c>
      <c r="AF135" s="502">
        <v>419</v>
      </c>
      <c r="AG135" s="502">
        <f>SUM(AE135:AF135)</f>
        <v>1969</v>
      </c>
      <c r="AH135" s="308"/>
      <c r="AI135" s="307"/>
      <c r="AJ135" s="309"/>
      <c r="AK135" s="309"/>
      <c r="AL135" s="309"/>
      <c r="AM135" s="309"/>
      <c r="AN135" s="309"/>
      <c r="AO135" s="309"/>
      <c r="AP135" s="309"/>
      <c r="AQ135" s="309"/>
      <c r="AR135" s="309"/>
      <c r="AS135" s="309"/>
      <c r="AT135" s="309"/>
      <c r="AU135" s="309"/>
      <c r="AV135" s="309"/>
      <c r="AW135" s="309"/>
      <c r="AX135" s="309"/>
      <c r="AY135" s="309"/>
      <c r="AZ135" s="309"/>
      <c r="BA135" s="309"/>
      <c r="BB135" s="309"/>
      <c r="BC135" s="499"/>
      <c r="BD135" s="499"/>
      <c r="BE135" s="499"/>
      <c r="BF135" s="309"/>
      <c r="BG135" s="309"/>
      <c r="BH135" s="309"/>
      <c r="BI135" s="711">
        <f>SUM(I135:I139)</f>
        <v>7435</v>
      </c>
      <c r="BJ135" s="711">
        <f>SUM(L135:L139)</f>
        <v>0</v>
      </c>
      <c r="BK135" s="711">
        <f>SUM(O135:O139)</f>
        <v>7435</v>
      </c>
      <c r="BL135" s="711">
        <f>SUM(R135:R139)</f>
        <v>-5466</v>
      </c>
      <c r="BM135" s="711">
        <f>SUM(U135:U139)</f>
        <v>1969</v>
      </c>
      <c r="BN135" s="711">
        <f>SUM(AD135:AD139)</f>
        <v>0</v>
      </c>
      <c r="BO135" s="711">
        <f>SUM(AA135:AA139)</f>
        <v>1969</v>
      </c>
      <c r="BP135" s="711"/>
      <c r="BQ135" s="711">
        <f>SUM(AG135:AG139)</f>
        <v>2579</v>
      </c>
      <c r="BR135" s="711">
        <f>SUM(AJ135:AJ139)</f>
        <v>0</v>
      </c>
      <c r="BS135" s="711">
        <f>SUM(AM135:AM139)</f>
        <v>0</v>
      </c>
      <c r="BT135" s="718">
        <f>SUM(AP135:AP139)</f>
        <v>0</v>
      </c>
      <c r="BU135" s="718">
        <f>SUM(AS135:AS139)</f>
        <v>0</v>
      </c>
      <c r="BV135" s="718">
        <f>SUM(AV135:AV139)</f>
        <v>0</v>
      </c>
      <c r="BW135" s="711">
        <f>SUM(BE135:BE139)</f>
        <v>0</v>
      </c>
      <c r="BX135" s="718">
        <f>SUM(BB135:BB139)</f>
        <v>0</v>
      </c>
      <c r="BY135" s="718"/>
      <c r="BZ135" s="718">
        <f>SUM(BH135:BH139)</f>
        <v>0</v>
      </c>
      <c r="CA135" s="711">
        <f>SUM(BQ135,BZ135)</f>
        <v>2579</v>
      </c>
      <c r="CB135" s="324">
        <v>1550000</v>
      </c>
      <c r="CC135" s="297">
        <v>1969</v>
      </c>
      <c r="CD135" s="711">
        <f>SUM(CC135:CC139)</f>
        <v>1969</v>
      </c>
    </row>
    <row r="136" spans="1:82" ht="16.5" customHeight="1" x14ac:dyDescent="0.2">
      <c r="A136" s="703"/>
      <c r="B136" s="292" t="s">
        <v>1438</v>
      </c>
      <c r="C136" s="293" t="s">
        <v>1143</v>
      </c>
      <c r="D136" s="314"/>
      <c r="E136" s="698" t="s">
        <v>742</v>
      </c>
      <c r="F136" s="302" t="s">
        <v>1440</v>
      </c>
      <c r="G136" s="296">
        <v>158</v>
      </c>
      <c r="H136" s="296">
        <v>42</v>
      </c>
      <c r="I136" s="296">
        <f>SUM(G136:H136)</f>
        <v>200</v>
      </c>
      <c r="J136" s="297">
        <f t="shared" si="39"/>
        <v>0</v>
      </c>
      <c r="K136" s="297">
        <f t="shared" si="39"/>
        <v>0</v>
      </c>
      <c r="L136" s="297">
        <f t="shared" si="39"/>
        <v>0</v>
      </c>
      <c r="M136" s="296">
        <v>158</v>
      </c>
      <c r="N136" s="296">
        <v>42</v>
      </c>
      <c r="O136" s="296">
        <f>SUM(M136:N136)</f>
        <v>200</v>
      </c>
      <c r="P136" s="499">
        <f t="shared" si="30"/>
        <v>-158</v>
      </c>
      <c r="Q136" s="499">
        <f t="shared" si="30"/>
        <v>-42</v>
      </c>
      <c r="R136" s="499">
        <f t="shared" si="30"/>
        <v>-200</v>
      </c>
      <c r="S136" s="499">
        <v>0</v>
      </c>
      <c r="T136" s="499">
        <v>0</v>
      </c>
      <c r="U136" s="499">
        <f t="shared" si="40"/>
        <v>0</v>
      </c>
      <c r="V136" s="499"/>
      <c r="W136" s="499"/>
      <c r="X136" s="499"/>
      <c r="Y136" s="499">
        <v>0</v>
      </c>
      <c r="Z136" s="499">
        <v>0</v>
      </c>
      <c r="AA136" s="499">
        <v>0</v>
      </c>
      <c r="AB136" s="499">
        <f t="shared" si="38"/>
        <v>0</v>
      </c>
      <c r="AC136" s="499">
        <f t="shared" si="38"/>
        <v>0</v>
      </c>
      <c r="AD136" s="499">
        <f t="shared" si="38"/>
        <v>0</v>
      </c>
      <c r="AE136" s="499">
        <v>0</v>
      </c>
      <c r="AF136" s="499">
        <v>0</v>
      </c>
      <c r="AG136" s="499">
        <v>0</v>
      </c>
      <c r="AH136" s="299"/>
      <c r="AI136" s="296"/>
      <c r="AJ136" s="298"/>
      <c r="AK136" s="298"/>
      <c r="AL136" s="298"/>
      <c r="AM136" s="298"/>
      <c r="AN136" s="298"/>
      <c r="AO136" s="298"/>
      <c r="AP136" s="298"/>
      <c r="AQ136" s="298"/>
      <c r="AR136" s="298"/>
      <c r="AS136" s="298"/>
      <c r="AT136" s="298"/>
      <c r="AU136" s="298"/>
      <c r="AV136" s="298"/>
      <c r="AW136" s="298"/>
      <c r="AX136" s="298"/>
      <c r="AY136" s="298"/>
      <c r="AZ136" s="298"/>
      <c r="BA136" s="298"/>
      <c r="BB136" s="298"/>
      <c r="BC136" s="499"/>
      <c r="BD136" s="499"/>
      <c r="BE136" s="499"/>
      <c r="BF136" s="298"/>
      <c r="BG136" s="298"/>
      <c r="BH136" s="298"/>
      <c r="BI136" s="714"/>
      <c r="BJ136" s="714"/>
      <c r="BK136" s="714"/>
      <c r="BL136" s="714"/>
      <c r="BM136" s="714"/>
      <c r="BN136" s="712"/>
      <c r="BO136" s="712"/>
      <c r="BP136" s="714"/>
      <c r="BQ136" s="714"/>
      <c r="BR136" s="714"/>
      <c r="BS136" s="714"/>
      <c r="BT136" s="714"/>
      <c r="BU136" s="714"/>
      <c r="BV136" s="714"/>
      <c r="BW136" s="714"/>
      <c r="BX136" s="714"/>
      <c r="BY136" s="714"/>
      <c r="BZ136" s="714"/>
      <c r="CA136" s="714"/>
      <c r="CB136" s="325">
        <v>0</v>
      </c>
      <c r="CC136" s="297">
        <v>0</v>
      </c>
      <c r="CD136" s="714"/>
    </row>
    <row r="137" spans="1:82" ht="17.25" customHeight="1" x14ac:dyDescent="0.2">
      <c r="A137" s="703"/>
      <c r="B137" s="292" t="s">
        <v>1438</v>
      </c>
      <c r="C137" s="293" t="s">
        <v>1143</v>
      </c>
      <c r="D137" s="314"/>
      <c r="E137" s="698"/>
      <c r="F137" s="302" t="s">
        <v>1441</v>
      </c>
      <c r="G137" s="296">
        <v>3588</v>
      </c>
      <c r="H137" s="296">
        <v>968</v>
      </c>
      <c r="I137" s="296">
        <f>SUM(G137:H137)</f>
        <v>4556</v>
      </c>
      <c r="J137" s="297">
        <f t="shared" si="39"/>
        <v>0</v>
      </c>
      <c r="K137" s="297">
        <f t="shared" si="39"/>
        <v>0</v>
      </c>
      <c r="L137" s="297">
        <f t="shared" si="39"/>
        <v>0</v>
      </c>
      <c r="M137" s="296">
        <v>3588</v>
      </c>
      <c r="N137" s="296">
        <v>968</v>
      </c>
      <c r="O137" s="296">
        <f>SUM(M137:N137)</f>
        <v>4556</v>
      </c>
      <c r="P137" s="499">
        <f t="shared" si="30"/>
        <v>-3588</v>
      </c>
      <c r="Q137" s="499">
        <f t="shared" si="30"/>
        <v>-968</v>
      </c>
      <c r="R137" s="499">
        <f t="shared" si="30"/>
        <v>-4556</v>
      </c>
      <c r="S137" s="499">
        <v>0</v>
      </c>
      <c r="T137" s="499">
        <v>0</v>
      </c>
      <c r="U137" s="499">
        <f t="shared" si="40"/>
        <v>0</v>
      </c>
      <c r="V137" s="499"/>
      <c r="W137" s="499"/>
      <c r="X137" s="499"/>
      <c r="Y137" s="499">
        <v>0</v>
      </c>
      <c r="Z137" s="499">
        <v>0</v>
      </c>
      <c r="AA137" s="499">
        <v>0</v>
      </c>
      <c r="AB137" s="499">
        <f t="shared" ref="AB137:AD139" si="46">AE137-S137</f>
        <v>0</v>
      </c>
      <c r="AC137" s="499">
        <f t="shared" si="46"/>
        <v>0</v>
      </c>
      <c r="AD137" s="499">
        <f t="shared" si="46"/>
        <v>0</v>
      </c>
      <c r="AE137" s="499">
        <v>0</v>
      </c>
      <c r="AF137" s="499">
        <v>0</v>
      </c>
      <c r="AG137" s="499">
        <v>0</v>
      </c>
      <c r="AH137" s="299"/>
      <c r="AI137" s="296"/>
      <c r="AJ137" s="298"/>
      <c r="AK137" s="298"/>
      <c r="AL137" s="298"/>
      <c r="AM137" s="298"/>
      <c r="AN137" s="298"/>
      <c r="AO137" s="298"/>
      <c r="AP137" s="298"/>
      <c r="AQ137" s="298"/>
      <c r="AR137" s="298"/>
      <c r="AS137" s="298"/>
      <c r="AT137" s="298"/>
      <c r="AU137" s="298"/>
      <c r="AV137" s="298"/>
      <c r="AW137" s="298"/>
      <c r="AX137" s="298"/>
      <c r="AY137" s="298"/>
      <c r="AZ137" s="298"/>
      <c r="BA137" s="298"/>
      <c r="BB137" s="298"/>
      <c r="BC137" s="499"/>
      <c r="BD137" s="499"/>
      <c r="BE137" s="499"/>
      <c r="BF137" s="298"/>
      <c r="BG137" s="298"/>
      <c r="BH137" s="298"/>
      <c r="BI137" s="714"/>
      <c r="BJ137" s="714"/>
      <c r="BK137" s="714"/>
      <c r="BL137" s="714"/>
      <c r="BM137" s="714"/>
      <c r="BN137" s="712"/>
      <c r="BO137" s="712"/>
      <c r="BP137" s="714"/>
      <c r="BQ137" s="714"/>
      <c r="BR137" s="714"/>
      <c r="BS137" s="714"/>
      <c r="BT137" s="714"/>
      <c r="BU137" s="714"/>
      <c r="BV137" s="714"/>
      <c r="BW137" s="714"/>
      <c r="BX137" s="714"/>
      <c r="BY137" s="714"/>
      <c r="BZ137" s="714"/>
      <c r="CA137" s="714"/>
      <c r="CB137" s="325">
        <v>0</v>
      </c>
      <c r="CC137" s="297">
        <v>0</v>
      </c>
      <c r="CD137" s="714"/>
    </row>
    <row r="138" spans="1:82" ht="17.25" customHeight="1" x14ac:dyDescent="0.2">
      <c r="A138" s="703"/>
      <c r="B138" s="292"/>
      <c r="C138" s="293" t="s">
        <v>1143</v>
      </c>
      <c r="D138" s="314"/>
      <c r="E138" s="698"/>
      <c r="F138" s="302" t="s">
        <v>1796</v>
      </c>
      <c r="G138" s="296"/>
      <c r="H138" s="296"/>
      <c r="I138" s="296"/>
      <c r="J138" s="297"/>
      <c r="K138" s="297"/>
      <c r="L138" s="297"/>
      <c r="M138" s="296"/>
      <c r="N138" s="296"/>
      <c r="O138" s="296"/>
      <c r="P138" s="499"/>
      <c r="Q138" s="499"/>
      <c r="R138" s="499"/>
      <c r="S138" s="499"/>
      <c r="T138" s="499"/>
      <c r="U138" s="499"/>
      <c r="V138" s="499"/>
      <c r="W138" s="499"/>
      <c r="X138" s="499"/>
      <c r="Y138" s="499"/>
      <c r="Z138" s="499"/>
      <c r="AA138" s="499"/>
      <c r="AB138" s="499"/>
      <c r="AC138" s="499"/>
      <c r="AD138" s="499"/>
      <c r="AE138" s="499"/>
      <c r="AF138" s="499"/>
      <c r="AG138" s="499">
        <v>610</v>
      </c>
      <c r="AH138" s="299"/>
      <c r="AI138" s="296"/>
      <c r="AJ138" s="298"/>
      <c r="AK138" s="298"/>
      <c r="AL138" s="298"/>
      <c r="AM138" s="298"/>
      <c r="AN138" s="298"/>
      <c r="AO138" s="298"/>
      <c r="AP138" s="298"/>
      <c r="AQ138" s="298"/>
      <c r="AR138" s="298"/>
      <c r="AS138" s="298"/>
      <c r="AT138" s="298"/>
      <c r="AU138" s="298"/>
      <c r="AV138" s="298"/>
      <c r="AW138" s="298"/>
      <c r="AX138" s="298"/>
      <c r="AY138" s="298"/>
      <c r="AZ138" s="298"/>
      <c r="BA138" s="298"/>
      <c r="BB138" s="298"/>
      <c r="BC138" s="499"/>
      <c r="BD138" s="499"/>
      <c r="BE138" s="499"/>
      <c r="BF138" s="298"/>
      <c r="BG138" s="298"/>
      <c r="BH138" s="298"/>
      <c r="BI138" s="714"/>
      <c r="BJ138" s="714"/>
      <c r="BK138" s="714"/>
      <c r="BL138" s="714"/>
      <c r="BM138" s="714"/>
      <c r="BN138" s="712"/>
      <c r="BO138" s="712"/>
      <c r="BP138" s="714"/>
      <c r="BQ138" s="714"/>
      <c r="BR138" s="714"/>
      <c r="BS138" s="714"/>
      <c r="BT138" s="714"/>
      <c r="BU138" s="714"/>
      <c r="BV138" s="714"/>
      <c r="BW138" s="714"/>
      <c r="BX138" s="714"/>
      <c r="BY138" s="714"/>
      <c r="BZ138" s="714"/>
      <c r="CA138" s="714"/>
      <c r="CB138" s="325"/>
      <c r="CC138" s="297"/>
      <c r="CD138" s="714"/>
    </row>
    <row r="139" spans="1:82" ht="15.75" customHeight="1" x14ac:dyDescent="0.2">
      <c r="A139" s="704"/>
      <c r="B139" s="292" t="s">
        <v>1438</v>
      </c>
      <c r="C139" s="293" t="s">
        <v>1143</v>
      </c>
      <c r="D139" s="314"/>
      <c r="E139" s="698"/>
      <c r="F139" s="302" t="s">
        <v>1442</v>
      </c>
      <c r="G139" s="296">
        <v>559</v>
      </c>
      <c r="H139" s="296">
        <v>151</v>
      </c>
      <c r="I139" s="296">
        <f>SUM(G139:H139)</f>
        <v>710</v>
      </c>
      <c r="J139" s="297">
        <f t="shared" si="39"/>
        <v>0</v>
      </c>
      <c r="K139" s="297">
        <f t="shared" si="39"/>
        <v>0</v>
      </c>
      <c r="L139" s="297">
        <f t="shared" si="39"/>
        <v>0</v>
      </c>
      <c r="M139" s="296">
        <v>559</v>
      </c>
      <c r="N139" s="296">
        <v>151</v>
      </c>
      <c r="O139" s="296">
        <f>SUM(M139:N139)</f>
        <v>710</v>
      </c>
      <c r="P139" s="499">
        <f t="shared" si="30"/>
        <v>-559</v>
      </c>
      <c r="Q139" s="499">
        <f t="shared" si="30"/>
        <v>-151</v>
      </c>
      <c r="R139" s="499">
        <f t="shared" si="30"/>
        <v>-710</v>
      </c>
      <c r="S139" s="499">
        <v>0</v>
      </c>
      <c r="T139" s="499">
        <v>0</v>
      </c>
      <c r="U139" s="499">
        <f t="shared" si="40"/>
        <v>0</v>
      </c>
      <c r="V139" s="499"/>
      <c r="W139" s="499"/>
      <c r="X139" s="499"/>
      <c r="Y139" s="499">
        <v>0</v>
      </c>
      <c r="Z139" s="499">
        <v>0</v>
      </c>
      <c r="AA139" s="499">
        <v>0</v>
      </c>
      <c r="AB139" s="499">
        <f t="shared" si="46"/>
        <v>0</v>
      </c>
      <c r="AC139" s="499">
        <f t="shared" si="46"/>
        <v>0</v>
      </c>
      <c r="AD139" s="499">
        <f t="shared" si="46"/>
        <v>0</v>
      </c>
      <c r="AE139" s="499">
        <v>0</v>
      </c>
      <c r="AF139" s="499">
        <v>0</v>
      </c>
      <c r="AG139" s="499">
        <v>0</v>
      </c>
      <c r="AH139" s="299"/>
      <c r="AI139" s="296"/>
      <c r="AJ139" s="298"/>
      <c r="AK139" s="298"/>
      <c r="AL139" s="298"/>
      <c r="AM139" s="298"/>
      <c r="AN139" s="298"/>
      <c r="AO139" s="298"/>
      <c r="AP139" s="298"/>
      <c r="AQ139" s="298"/>
      <c r="AR139" s="298"/>
      <c r="AS139" s="298"/>
      <c r="AT139" s="298"/>
      <c r="AU139" s="298"/>
      <c r="AV139" s="298"/>
      <c r="AW139" s="298"/>
      <c r="AX139" s="298"/>
      <c r="AY139" s="298"/>
      <c r="AZ139" s="298"/>
      <c r="BA139" s="298"/>
      <c r="BB139" s="298"/>
      <c r="BC139" s="499"/>
      <c r="BD139" s="499"/>
      <c r="BE139" s="499"/>
      <c r="BF139" s="298"/>
      <c r="BG139" s="298"/>
      <c r="BH139" s="298"/>
      <c r="BI139" s="717"/>
      <c r="BJ139" s="717"/>
      <c r="BK139" s="717"/>
      <c r="BL139" s="717"/>
      <c r="BM139" s="717"/>
      <c r="BN139" s="713"/>
      <c r="BO139" s="713"/>
      <c r="BP139" s="717"/>
      <c r="BQ139" s="717"/>
      <c r="BR139" s="717"/>
      <c r="BS139" s="717"/>
      <c r="BT139" s="717"/>
      <c r="BU139" s="717"/>
      <c r="BV139" s="717"/>
      <c r="BW139" s="717"/>
      <c r="BX139" s="717"/>
      <c r="BY139" s="717"/>
      <c r="BZ139" s="717"/>
      <c r="CA139" s="717"/>
      <c r="CB139" s="325">
        <v>0</v>
      </c>
      <c r="CC139" s="297">
        <v>0</v>
      </c>
      <c r="CD139" s="717"/>
    </row>
    <row r="140" spans="1:82" ht="18.75" customHeight="1" x14ac:dyDescent="0.2">
      <c r="A140" s="719" t="s">
        <v>411</v>
      </c>
      <c r="B140" s="326" t="s">
        <v>1443</v>
      </c>
      <c r="C140" s="293" t="s">
        <v>1143</v>
      </c>
      <c r="D140" s="327"/>
      <c r="E140" s="715" t="s">
        <v>743</v>
      </c>
      <c r="F140" s="302" t="s">
        <v>1444</v>
      </c>
      <c r="G140" s="296"/>
      <c r="H140" s="296"/>
      <c r="I140" s="296"/>
      <c r="J140" s="297"/>
      <c r="K140" s="297"/>
      <c r="L140" s="297"/>
      <c r="M140" s="499"/>
      <c r="N140" s="499"/>
      <c r="O140" s="499"/>
      <c r="P140" s="298"/>
      <c r="Q140" s="298"/>
      <c r="R140" s="298"/>
      <c r="S140" s="298"/>
      <c r="T140" s="298"/>
      <c r="U140" s="298"/>
      <c r="V140" s="298"/>
      <c r="W140" s="298"/>
      <c r="X140" s="298"/>
      <c r="Y140" s="298"/>
      <c r="Z140" s="298"/>
      <c r="AA140" s="298"/>
      <c r="AB140" s="298"/>
      <c r="AC140" s="298"/>
      <c r="AD140" s="298"/>
      <c r="AE140" s="298"/>
      <c r="AF140" s="298"/>
      <c r="AG140" s="298"/>
      <c r="AH140" s="299">
        <v>787</v>
      </c>
      <c r="AI140" s="296">
        <v>212</v>
      </c>
      <c r="AJ140" s="499">
        <f>SUM(AH140:AI140)</f>
        <v>999</v>
      </c>
      <c r="AK140" s="499">
        <f>AN140-AH140</f>
        <v>0</v>
      </c>
      <c r="AL140" s="499">
        <f>AO140-AI140</f>
        <v>0</v>
      </c>
      <c r="AM140" s="499">
        <f>AP140-AJ140</f>
        <v>0</v>
      </c>
      <c r="AN140" s="299">
        <v>787</v>
      </c>
      <c r="AO140" s="296">
        <v>212</v>
      </c>
      <c r="AP140" s="499">
        <f>SUM(AN140:AO140)</f>
        <v>999</v>
      </c>
      <c r="AQ140" s="499">
        <f>AT140-AN140</f>
        <v>0</v>
      </c>
      <c r="AR140" s="499">
        <f>AU140-AO140</f>
        <v>0</v>
      </c>
      <c r="AS140" s="499">
        <f>AV140-AP140</f>
        <v>0</v>
      </c>
      <c r="AT140" s="499">
        <v>787</v>
      </c>
      <c r="AU140" s="499">
        <v>212</v>
      </c>
      <c r="AV140" s="499">
        <f>SUM(AT140:AU140)</f>
        <v>999</v>
      </c>
      <c r="AW140" s="499"/>
      <c r="AX140" s="499"/>
      <c r="AY140" s="499"/>
      <c r="AZ140" s="499">
        <v>787</v>
      </c>
      <c r="BA140" s="499">
        <v>212</v>
      </c>
      <c r="BB140" s="499">
        <v>999</v>
      </c>
      <c r="BC140" s="499">
        <f t="shared" ref="BC140:BE141" si="47">BF140-AT140</f>
        <v>-787</v>
      </c>
      <c r="BD140" s="499">
        <f t="shared" si="47"/>
        <v>-212</v>
      </c>
      <c r="BE140" s="499">
        <f t="shared" si="47"/>
        <v>-999</v>
      </c>
      <c r="BF140" s="499">
        <v>0</v>
      </c>
      <c r="BG140" s="499">
        <v>0</v>
      </c>
      <c r="BH140" s="499">
        <f>SUM(BF140:BG140)</f>
        <v>0</v>
      </c>
      <c r="BI140" s="711">
        <f>SUM(I140:I141)</f>
        <v>0</v>
      </c>
      <c r="BJ140" s="711">
        <f>SUM(L140)</f>
        <v>0</v>
      </c>
      <c r="BK140" s="711">
        <f>SUM(O140:O141)</f>
        <v>0</v>
      </c>
      <c r="BL140" s="718">
        <f>SUM(R140:T141)</f>
        <v>0</v>
      </c>
      <c r="BM140" s="718">
        <f>SUM(U140:AC141)</f>
        <v>0</v>
      </c>
      <c r="BN140" s="718">
        <f>SUM(AD140:AD141)</f>
        <v>0</v>
      </c>
      <c r="BO140" s="718">
        <f>SUM(AA140:AA141)</f>
        <v>0</v>
      </c>
      <c r="BP140" s="718"/>
      <c r="BQ140" s="718">
        <f>SUM(AG140:AG141)</f>
        <v>0</v>
      </c>
      <c r="BR140" s="711">
        <f>SUM(AJ140:AJ141)</f>
        <v>999</v>
      </c>
      <c r="BS140" s="711">
        <f>SUM(AM140)</f>
        <v>0</v>
      </c>
      <c r="BT140" s="711">
        <f>SUM(AP140:AR141)</f>
        <v>999</v>
      </c>
      <c r="BU140" s="711">
        <f>SUM(AS140:AU141)</f>
        <v>999</v>
      </c>
      <c r="BV140" s="711">
        <f>SUM(AV140:BD141)</f>
        <v>2824</v>
      </c>
      <c r="BW140" s="711">
        <f>SUM(BE140:BE141)</f>
        <v>-173</v>
      </c>
      <c r="BX140" s="711">
        <f>SUM(BB140:BB141)</f>
        <v>999</v>
      </c>
      <c r="BY140" s="718"/>
      <c r="BZ140" s="711">
        <f>SUM(BH140:BH141)</f>
        <v>826</v>
      </c>
      <c r="CA140" s="711">
        <f>SUM(BQ140,BZ140)</f>
        <v>826</v>
      </c>
      <c r="CB140" s="324">
        <v>0</v>
      </c>
      <c r="CC140" s="297">
        <v>0</v>
      </c>
      <c r="CD140" s="711">
        <f>SUM(CC140:CC141)</f>
        <v>826</v>
      </c>
    </row>
    <row r="141" spans="1:82" ht="41.25" customHeight="1" x14ac:dyDescent="0.2">
      <c r="A141" s="720"/>
      <c r="B141" s="326" t="s">
        <v>1443</v>
      </c>
      <c r="C141" s="328" t="s">
        <v>1445</v>
      </c>
      <c r="D141" s="327"/>
      <c r="E141" s="721"/>
      <c r="F141" s="323" t="s">
        <v>1446</v>
      </c>
      <c r="G141" s="296"/>
      <c r="H141" s="296"/>
      <c r="I141" s="296"/>
      <c r="J141" s="297"/>
      <c r="K141" s="297"/>
      <c r="L141" s="297"/>
      <c r="M141" s="499"/>
      <c r="N141" s="499"/>
      <c r="O141" s="499"/>
      <c r="P141" s="298"/>
      <c r="Q141" s="298"/>
      <c r="R141" s="298"/>
      <c r="S141" s="298"/>
      <c r="T141" s="298"/>
      <c r="U141" s="298"/>
      <c r="V141" s="298"/>
      <c r="W141" s="298"/>
      <c r="X141" s="298"/>
      <c r="Y141" s="298"/>
      <c r="Z141" s="298"/>
      <c r="AA141" s="298"/>
      <c r="AB141" s="298"/>
      <c r="AC141" s="298"/>
      <c r="AD141" s="298"/>
      <c r="AE141" s="298"/>
      <c r="AF141" s="298"/>
      <c r="AG141" s="298"/>
      <c r="AH141" s="299"/>
      <c r="AI141" s="296"/>
      <c r="AJ141" s="499"/>
      <c r="AK141" s="499"/>
      <c r="AL141" s="499"/>
      <c r="AM141" s="499"/>
      <c r="AN141" s="299"/>
      <c r="AO141" s="296"/>
      <c r="AP141" s="499"/>
      <c r="AQ141" s="499"/>
      <c r="AR141" s="499"/>
      <c r="AS141" s="499"/>
      <c r="AT141" s="499"/>
      <c r="AU141" s="499"/>
      <c r="AV141" s="499"/>
      <c r="AW141" s="499"/>
      <c r="AX141" s="499"/>
      <c r="AY141" s="499"/>
      <c r="AZ141" s="499"/>
      <c r="BA141" s="499"/>
      <c r="BB141" s="499"/>
      <c r="BC141" s="499">
        <f t="shared" si="47"/>
        <v>650</v>
      </c>
      <c r="BD141" s="499">
        <f t="shared" si="47"/>
        <v>176</v>
      </c>
      <c r="BE141" s="499">
        <f t="shared" si="47"/>
        <v>826</v>
      </c>
      <c r="BF141" s="499">
        <v>650</v>
      </c>
      <c r="BG141" s="499">
        <v>176</v>
      </c>
      <c r="BH141" s="499">
        <f>SUM(BF141:BG141)</f>
        <v>826</v>
      </c>
      <c r="BI141" s="713"/>
      <c r="BJ141" s="713"/>
      <c r="BK141" s="713"/>
      <c r="BL141" s="717"/>
      <c r="BM141" s="717"/>
      <c r="BN141" s="717"/>
      <c r="BO141" s="717"/>
      <c r="BP141" s="717"/>
      <c r="BQ141" s="717"/>
      <c r="BR141" s="713"/>
      <c r="BS141" s="713"/>
      <c r="BT141" s="713"/>
      <c r="BU141" s="713"/>
      <c r="BV141" s="713"/>
      <c r="BW141" s="713"/>
      <c r="BX141" s="713"/>
      <c r="BY141" s="717"/>
      <c r="BZ141" s="717"/>
      <c r="CA141" s="713"/>
      <c r="CB141" s="297">
        <v>650000</v>
      </c>
      <c r="CC141" s="297">
        <v>826</v>
      </c>
      <c r="CD141" s="713"/>
    </row>
    <row r="142" spans="1:82" ht="22.5" x14ac:dyDescent="0.2">
      <c r="A142" s="513" t="s">
        <v>412</v>
      </c>
      <c r="B142" s="292" t="s">
        <v>1381</v>
      </c>
      <c r="C142" s="293" t="s">
        <v>1143</v>
      </c>
      <c r="D142" s="314"/>
      <c r="E142" s="513" t="s">
        <v>744</v>
      </c>
      <c r="F142" s="302" t="s">
        <v>1447</v>
      </c>
      <c r="G142" s="296">
        <v>7874</v>
      </c>
      <c r="H142" s="296">
        <v>2126</v>
      </c>
      <c r="I142" s="296">
        <f>SUM(G142:H142)</f>
        <v>10000</v>
      </c>
      <c r="J142" s="297">
        <f t="shared" ref="J142:L159" si="48">M142-G142</f>
        <v>0</v>
      </c>
      <c r="K142" s="297">
        <f t="shared" si="48"/>
        <v>0</v>
      </c>
      <c r="L142" s="499">
        <f t="shared" si="48"/>
        <v>0</v>
      </c>
      <c r="M142" s="296">
        <v>7874</v>
      </c>
      <c r="N142" s="296">
        <v>2126</v>
      </c>
      <c r="O142" s="296">
        <f>SUM(M142:N142)</f>
        <v>10000</v>
      </c>
      <c r="P142" s="499">
        <f t="shared" ref="P142:R159" si="49">S142-M142</f>
        <v>0</v>
      </c>
      <c r="Q142" s="499">
        <f t="shared" si="49"/>
        <v>0</v>
      </c>
      <c r="R142" s="499">
        <f t="shared" si="49"/>
        <v>0</v>
      </c>
      <c r="S142" s="499">
        <v>7874</v>
      </c>
      <c r="T142" s="499">
        <v>2126</v>
      </c>
      <c r="U142" s="499">
        <f>SUM(S142:T142)</f>
        <v>10000</v>
      </c>
      <c r="V142" s="499"/>
      <c r="W142" s="499"/>
      <c r="X142" s="499"/>
      <c r="Y142" s="499">
        <v>7874</v>
      </c>
      <c r="Z142" s="499">
        <v>2126</v>
      </c>
      <c r="AA142" s="499">
        <v>10000</v>
      </c>
      <c r="AB142" s="499">
        <f t="shared" ref="AB142:AD157" si="50">AE142-S142</f>
        <v>-7874</v>
      </c>
      <c r="AC142" s="499">
        <f t="shared" si="50"/>
        <v>-2126</v>
      </c>
      <c r="AD142" s="499">
        <f t="shared" si="50"/>
        <v>-10000</v>
      </c>
      <c r="AE142" s="499">
        <v>0</v>
      </c>
      <c r="AF142" s="499">
        <v>0</v>
      </c>
      <c r="AG142" s="499">
        <v>0</v>
      </c>
      <c r="AH142" s="299"/>
      <c r="AI142" s="296"/>
      <c r="AJ142" s="298"/>
      <c r="AK142" s="298"/>
      <c r="AL142" s="298"/>
      <c r="AM142" s="298"/>
      <c r="AN142" s="298"/>
      <c r="AO142" s="298"/>
      <c r="AP142" s="298"/>
      <c r="AQ142" s="298"/>
      <c r="AR142" s="298"/>
      <c r="AS142" s="298"/>
      <c r="AT142" s="298"/>
      <c r="AU142" s="298"/>
      <c r="AV142" s="298"/>
      <c r="AW142" s="298"/>
      <c r="AX142" s="298"/>
      <c r="AY142" s="298"/>
      <c r="AZ142" s="298"/>
      <c r="BA142" s="298"/>
      <c r="BB142" s="298"/>
      <c r="BC142" s="499"/>
      <c r="BD142" s="499"/>
      <c r="BE142" s="499"/>
      <c r="BF142" s="298"/>
      <c r="BG142" s="298"/>
      <c r="BH142" s="298"/>
      <c r="BI142" s="517">
        <f>SUM(I142)</f>
        <v>10000</v>
      </c>
      <c r="BJ142" s="517">
        <f>SUM(L142)</f>
        <v>0</v>
      </c>
      <c r="BK142" s="517">
        <f>SUM(O142)</f>
        <v>10000</v>
      </c>
      <c r="BL142" s="297">
        <f>SUM(R142)</f>
        <v>0</v>
      </c>
      <c r="BM142" s="297">
        <f>SUM(U142)</f>
        <v>10000</v>
      </c>
      <c r="BN142" s="297">
        <f>SUM(AD142)</f>
        <v>-10000</v>
      </c>
      <c r="BO142" s="297">
        <f>SUM(AG142)</f>
        <v>0</v>
      </c>
      <c r="BP142" s="300"/>
      <c r="BQ142" s="297">
        <f>SUM(AG142)</f>
        <v>0</v>
      </c>
      <c r="BR142" s="520">
        <f>SUM(AJ142)</f>
        <v>0</v>
      </c>
      <c r="BS142" s="520">
        <f>SUM(AM142)</f>
        <v>0</v>
      </c>
      <c r="BT142" s="520">
        <f>SUM(AP142)</f>
        <v>0</v>
      </c>
      <c r="BU142" s="300">
        <f>SUM(AS142)</f>
        <v>0</v>
      </c>
      <c r="BV142" s="300">
        <f>SUM(AV142)</f>
        <v>0</v>
      </c>
      <c r="BW142" s="297">
        <f>SUM(BE142)</f>
        <v>0</v>
      </c>
      <c r="BX142" s="300">
        <f>SUM(BB142)</f>
        <v>0</v>
      </c>
      <c r="BY142" s="300"/>
      <c r="BZ142" s="300">
        <f>SUM(BH142)</f>
        <v>0</v>
      </c>
      <c r="CA142" s="517">
        <f>SUM(BQ142,BZ142)</f>
        <v>0</v>
      </c>
      <c r="CB142" s="297">
        <v>0</v>
      </c>
      <c r="CC142" s="297">
        <v>0</v>
      </c>
      <c r="CD142" s="297">
        <f>SUM(CB142:CC142)</f>
        <v>0</v>
      </c>
    </row>
    <row r="143" spans="1:82" ht="22.5" x14ac:dyDescent="0.2">
      <c r="A143" s="702" t="s">
        <v>413</v>
      </c>
      <c r="B143" s="292" t="s">
        <v>1381</v>
      </c>
      <c r="C143" s="320" t="s">
        <v>745</v>
      </c>
      <c r="D143" s="314"/>
      <c r="E143" s="702" t="s">
        <v>746</v>
      </c>
      <c r="F143" s="317" t="s">
        <v>1448</v>
      </c>
      <c r="G143" s="296">
        <v>5279</v>
      </c>
      <c r="H143" s="296">
        <v>1425</v>
      </c>
      <c r="I143" s="296">
        <f>SUM(G143:H143)</f>
        <v>6704</v>
      </c>
      <c r="J143" s="297">
        <f t="shared" si="48"/>
        <v>0</v>
      </c>
      <c r="K143" s="297">
        <f t="shared" si="48"/>
        <v>0</v>
      </c>
      <c r="L143" s="297">
        <f t="shared" si="48"/>
        <v>0</v>
      </c>
      <c r="M143" s="296">
        <v>5279</v>
      </c>
      <c r="N143" s="296">
        <v>1425</v>
      </c>
      <c r="O143" s="296">
        <f>SUM(M143:N143)</f>
        <v>6704</v>
      </c>
      <c r="P143" s="499">
        <f t="shared" si="49"/>
        <v>0</v>
      </c>
      <c r="Q143" s="499">
        <f t="shared" si="49"/>
        <v>0</v>
      </c>
      <c r="R143" s="499">
        <f t="shared" si="49"/>
        <v>0</v>
      </c>
      <c r="S143" s="499">
        <v>5279</v>
      </c>
      <c r="T143" s="499">
        <v>1425</v>
      </c>
      <c r="U143" s="499">
        <f>SUM(S143:T143)</f>
        <v>6704</v>
      </c>
      <c r="V143" s="499"/>
      <c r="W143" s="499"/>
      <c r="X143" s="499"/>
      <c r="Y143" s="499">
        <v>5279</v>
      </c>
      <c r="Z143" s="499">
        <v>1425</v>
      </c>
      <c r="AA143" s="499">
        <v>6704</v>
      </c>
      <c r="AB143" s="499">
        <f t="shared" si="50"/>
        <v>0</v>
      </c>
      <c r="AC143" s="499">
        <f t="shared" si="50"/>
        <v>0</v>
      </c>
      <c r="AD143" s="499">
        <f t="shared" si="50"/>
        <v>0</v>
      </c>
      <c r="AE143" s="499">
        <v>5279</v>
      </c>
      <c r="AF143" s="499">
        <v>1425</v>
      </c>
      <c r="AG143" s="499">
        <v>6704</v>
      </c>
      <c r="AH143" s="299"/>
      <c r="AI143" s="296"/>
      <c r="AJ143" s="298"/>
      <c r="AK143" s="298"/>
      <c r="AL143" s="298"/>
      <c r="AM143" s="298"/>
      <c r="AN143" s="298"/>
      <c r="AO143" s="298"/>
      <c r="AP143" s="298"/>
      <c r="AQ143" s="298"/>
      <c r="AR143" s="298"/>
      <c r="AS143" s="298"/>
      <c r="AT143" s="298"/>
      <c r="AU143" s="298"/>
      <c r="AV143" s="298"/>
      <c r="AW143" s="298"/>
      <c r="AX143" s="298"/>
      <c r="AY143" s="298"/>
      <c r="AZ143" s="298"/>
      <c r="BA143" s="298"/>
      <c r="BB143" s="298"/>
      <c r="BC143" s="499"/>
      <c r="BD143" s="499"/>
      <c r="BE143" s="499"/>
      <c r="BF143" s="298"/>
      <c r="BG143" s="298"/>
      <c r="BH143" s="298"/>
      <c r="BI143" s="711">
        <f>SUM(I143:I155)</f>
        <v>23328</v>
      </c>
      <c r="BJ143" s="711">
        <f>SUM(L143:L154)</f>
        <v>7889</v>
      </c>
      <c r="BK143" s="711">
        <f>SUM(O143:O154)</f>
        <v>31217</v>
      </c>
      <c r="BL143" s="711">
        <f>SUM(R143:R154)</f>
        <v>120047</v>
      </c>
      <c r="BM143" s="711">
        <f>SUM(U143:U154)</f>
        <v>151264</v>
      </c>
      <c r="BN143" s="711">
        <f>SUM(AD143:AD154)</f>
        <v>-77871</v>
      </c>
      <c r="BO143" s="711">
        <f>SUM(AA143:AA155)</f>
        <v>151264</v>
      </c>
      <c r="BP143" s="718"/>
      <c r="BQ143" s="711">
        <f>SUM(AG143:AG155)</f>
        <v>77330</v>
      </c>
      <c r="BR143" s="718">
        <f>SUM(AJ143:AJ155)</f>
        <v>0</v>
      </c>
      <c r="BS143" s="718">
        <f>SUM(AM143:AM152)</f>
        <v>0</v>
      </c>
      <c r="BT143" s="718">
        <f>SUM(AP143:AP152)</f>
        <v>0</v>
      </c>
      <c r="BU143" s="718">
        <f>SUM(AS143:AS152)</f>
        <v>0</v>
      </c>
      <c r="BV143" s="718">
        <f>SUM(AV143:AV152)</f>
        <v>0</v>
      </c>
      <c r="BW143" s="711">
        <f>SUM(BE143:BE154)</f>
        <v>0</v>
      </c>
      <c r="BX143" s="718">
        <f>SUM(BB143:BB155)</f>
        <v>0</v>
      </c>
      <c r="BY143" s="718"/>
      <c r="BZ143" s="718">
        <f>SUM(BH143:BH155)</f>
        <v>0</v>
      </c>
      <c r="CA143" s="711">
        <f>SUM(BQ143,BZ143)</f>
        <v>77330</v>
      </c>
      <c r="CB143" s="297">
        <v>5279013</v>
      </c>
      <c r="CC143" s="297">
        <v>6704</v>
      </c>
      <c r="CD143" s="711">
        <f>SUM(CC143:CC155)</f>
        <v>77330</v>
      </c>
    </row>
    <row r="144" spans="1:82" x14ac:dyDescent="0.2">
      <c r="A144" s="703"/>
      <c r="B144" s="292" t="s">
        <v>1381</v>
      </c>
      <c r="C144" s="320" t="s">
        <v>747</v>
      </c>
      <c r="D144" s="314"/>
      <c r="E144" s="703"/>
      <c r="F144" s="317" t="s">
        <v>1449</v>
      </c>
      <c r="G144" s="296">
        <v>6372</v>
      </c>
      <c r="H144" s="296">
        <v>1721</v>
      </c>
      <c r="I144" s="296">
        <f>SUM(G144:H144)</f>
        <v>8093</v>
      </c>
      <c r="J144" s="297">
        <f t="shared" si="48"/>
        <v>0</v>
      </c>
      <c r="K144" s="297">
        <f t="shared" si="48"/>
        <v>0</v>
      </c>
      <c r="L144" s="297">
        <f t="shared" si="48"/>
        <v>0</v>
      </c>
      <c r="M144" s="296">
        <v>6372</v>
      </c>
      <c r="N144" s="296">
        <v>1721</v>
      </c>
      <c r="O144" s="296">
        <f>SUM(M144:N144)</f>
        <v>8093</v>
      </c>
      <c r="P144" s="499">
        <f t="shared" si="49"/>
        <v>0</v>
      </c>
      <c r="Q144" s="499">
        <f t="shared" si="49"/>
        <v>0</v>
      </c>
      <c r="R144" s="499">
        <f t="shared" si="49"/>
        <v>0</v>
      </c>
      <c r="S144" s="499">
        <v>6372</v>
      </c>
      <c r="T144" s="499">
        <v>1721</v>
      </c>
      <c r="U144" s="499">
        <f>SUM(S144:T144)</f>
        <v>8093</v>
      </c>
      <c r="V144" s="499"/>
      <c r="W144" s="499"/>
      <c r="X144" s="499"/>
      <c r="Y144" s="499">
        <v>6372</v>
      </c>
      <c r="Z144" s="499">
        <v>1721</v>
      </c>
      <c r="AA144" s="499">
        <v>8093</v>
      </c>
      <c r="AB144" s="499">
        <f t="shared" si="50"/>
        <v>0</v>
      </c>
      <c r="AC144" s="499">
        <f t="shared" si="50"/>
        <v>0</v>
      </c>
      <c r="AD144" s="499">
        <f t="shared" si="50"/>
        <v>0</v>
      </c>
      <c r="AE144" s="499">
        <v>6372</v>
      </c>
      <c r="AF144" s="499">
        <v>1721</v>
      </c>
      <c r="AG144" s="499">
        <v>8093</v>
      </c>
      <c r="AH144" s="299"/>
      <c r="AI144" s="296"/>
      <c r="AJ144" s="298"/>
      <c r="AK144" s="298"/>
      <c r="AL144" s="298"/>
      <c r="AM144" s="298"/>
      <c r="AN144" s="298"/>
      <c r="AO144" s="298"/>
      <c r="AP144" s="298"/>
      <c r="AQ144" s="298"/>
      <c r="AR144" s="298"/>
      <c r="AS144" s="298"/>
      <c r="AT144" s="298"/>
      <c r="AU144" s="298"/>
      <c r="AV144" s="298"/>
      <c r="AW144" s="298"/>
      <c r="AX144" s="298"/>
      <c r="AY144" s="298"/>
      <c r="AZ144" s="298"/>
      <c r="BA144" s="298"/>
      <c r="BB144" s="298"/>
      <c r="BC144" s="499"/>
      <c r="BD144" s="499"/>
      <c r="BE144" s="499"/>
      <c r="BF144" s="298"/>
      <c r="BG144" s="298"/>
      <c r="BH144" s="298"/>
      <c r="BI144" s="712"/>
      <c r="BJ144" s="712"/>
      <c r="BK144" s="712"/>
      <c r="BL144" s="712"/>
      <c r="BM144" s="712"/>
      <c r="BN144" s="712"/>
      <c r="BO144" s="712"/>
      <c r="BP144" s="714"/>
      <c r="BQ144" s="714"/>
      <c r="BR144" s="714"/>
      <c r="BS144" s="714"/>
      <c r="BT144" s="714"/>
      <c r="BU144" s="714"/>
      <c r="BV144" s="714"/>
      <c r="BW144" s="712"/>
      <c r="BX144" s="714"/>
      <c r="BY144" s="714"/>
      <c r="BZ144" s="714"/>
      <c r="CA144" s="712"/>
      <c r="CB144" s="297">
        <v>6372513</v>
      </c>
      <c r="CC144" s="297">
        <v>8093</v>
      </c>
      <c r="CD144" s="714"/>
    </row>
    <row r="145" spans="1:82" ht="22.5" x14ac:dyDescent="0.2">
      <c r="A145" s="703"/>
      <c r="B145" s="292" t="s">
        <v>1381</v>
      </c>
      <c r="C145" s="320" t="s">
        <v>748</v>
      </c>
      <c r="D145" s="314"/>
      <c r="E145" s="703"/>
      <c r="F145" s="317" t="s">
        <v>1450</v>
      </c>
      <c r="G145" s="296">
        <v>3568</v>
      </c>
      <c r="H145" s="296">
        <v>963</v>
      </c>
      <c r="I145" s="296">
        <f>SUM(G145:H145)</f>
        <v>4531</v>
      </c>
      <c r="J145" s="297">
        <f t="shared" si="48"/>
        <v>0</v>
      </c>
      <c r="K145" s="297">
        <f t="shared" si="48"/>
        <v>0</v>
      </c>
      <c r="L145" s="297">
        <f t="shared" si="48"/>
        <v>0</v>
      </c>
      <c r="M145" s="296">
        <v>3568</v>
      </c>
      <c r="N145" s="296">
        <v>963</v>
      </c>
      <c r="O145" s="296">
        <f>SUM(M145:N145)</f>
        <v>4531</v>
      </c>
      <c r="P145" s="499">
        <f t="shared" si="49"/>
        <v>0</v>
      </c>
      <c r="Q145" s="499">
        <f t="shared" si="49"/>
        <v>0</v>
      </c>
      <c r="R145" s="499">
        <f t="shared" si="49"/>
        <v>0</v>
      </c>
      <c r="S145" s="499">
        <v>3568</v>
      </c>
      <c r="T145" s="499">
        <v>963</v>
      </c>
      <c r="U145" s="499">
        <f>SUM(S145:T145)</f>
        <v>4531</v>
      </c>
      <c r="V145" s="499"/>
      <c r="W145" s="499"/>
      <c r="X145" s="499"/>
      <c r="Y145" s="499">
        <v>3568</v>
      </c>
      <c r="Z145" s="499">
        <v>963</v>
      </c>
      <c r="AA145" s="499">
        <v>4531</v>
      </c>
      <c r="AB145" s="499">
        <f t="shared" si="50"/>
        <v>0</v>
      </c>
      <c r="AC145" s="499">
        <f t="shared" si="50"/>
        <v>0</v>
      </c>
      <c r="AD145" s="499">
        <f t="shared" si="50"/>
        <v>0</v>
      </c>
      <c r="AE145" s="499">
        <v>3568</v>
      </c>
      <c r="AF145" s="499">
        <v>963</v>
      </c>
      <c r="AG145" s="499">
        <v>4531</v>
      </c>
      <c r="AH145" s="299"/>
      <c r="AI145" s="296"/>
      <c r="AJ145" s="298"/>
      <c r="AK145" s="298"/>
      <c r="AL145" s="298"/>
      <c r="AM145" s="298"/>
      <c r="AN145" s="298"/>
      <c r="AO145" s="298"/>
      <c r="AP145" s="298"/>
      <c r="AQ145" s="298"/>
      <c r="AR145" s="298"/>
      <c r="AS145" s="298"/>
      <c r="AT145" s="298"/>
      <c r="AU145" s="298"/>
      <c r="AV145" s="298"/>
      <c r="AW145" s="298"/>
      <c r="AX145" s="298"/>
      <c r="AY145" s="298"/>
      <c r="AZ145" s="298"/>
      <c r="BA145" s="298"/>
      <c r="BB145" s="298"/>
      <c r="BC145" s="499"/>
      <c r="BD145" s="499"/>
      <c r="BE145" s="499"/>
      <c r="BF145" s="298"/>
      <c r="BG145" s="298"/>
      <c r="BH145" s="298"/>
      <c r="BI145" s="712"/>
      <c r="BJ145" s="712"/>
      <c r="BK145" s="712"/>
      <c r="BL145" s="712"/>
      <c r="BM145" s="712"/>
      <c r="BN145" s="712"/>
      <c r="BO145" s="712"/>
      <c r="BP145" s="714"/>
      <c r="BQ145" s="714"/>
      <c r="BR145" s="714"/>
      <c r="BS145" s="714"/>
      <c r="BT145" s="714"/>
      <c r="BU145" s="714"/>
      <c r="BV145" s="714"/>
      <c r="BW145" s="712"/>
      <c r="BX145" s="714"/>
      <c r="BY145" s="714"/>
      <c r="BZ145" s="714"/>
      <c r="CA145" s="712"/>
      <c r="CB145" s="297">
        <v>3567592</v>
      </c>
      <c r="CC145" s="297">
        <v>4531</v>
      </c>
      <c r="CD145" s="714"/>
    </row>
    <row r="146" spans="1:82" ht="22.5" x14ac:dyDescent="0.2">
      <c r="A146" s="703"/>
      <c r="B146" s="292" t="s">
        <v>1381</v>
      </c>
      <c r="C146" s="293" t="s">
        <v>1143</v>
      </c>
      <c r="D146" s="314"/>
      <c r="E146" s="703"/>
      <c r="F146" s="317" t="s">
        <v>1451</v>
      </c>
      <c r="G146" s="296">
        <v>3150</v>
      </c>
      <c r="H146" s="296">
        <v>850</v>
      </c>
      <c r="I146" s="296">
        <v>4000</v>
      </c>
      <c r="J146" s="297">
        <f t="shared" si="48"/>
        <v>0</v>
      </c>
      <c r="K146" s="297">
        <f t="shared" si="48"/>
        <v>0</v>
      </c>
      <c r="L146" s="297">
        <f t="shared" si="48"/>
        <v>0</v>
      </c>
      <c r="M146" s="296">
        <v>3150</v>
      </c>
      <c r="N146" s="296">
        <v>850</v>
      </c>
      <c r="O146" s="296">
        <v>4000</v>
      </c>
      <c r="P146" s="499">
        <f t="shared" si="49"/>
        <v>418</v>
      </c>
      <c r="Q146" s="499">
        <f t="shared" si="49"/>
        <v>113</v>
      </c>
      <c r="R146" s="499">
        <f t="shared" si="49"/>
        <v>531</v>
      </c>
      <c r="S146" s="499">
        <v>3568</v>
      </c>
      <c r="T146" s="499">
        <v>963</v>
      </c>
      <c r="U146" s="499">
        <f>SUM(S146:T146)</f>
        <v>4531</v>
      </c>
      <c r="V146" s="499"/>
      <c r="W146" s="499"/>
      <c r="X146" s="499"/>
      <c r="Y146" s="499">
        <v>3568</v>
      </c>
      <c r="Z146" s="499">
        <v>963</v>
      </c>
      <c r="AA146" s="499">
        <v>4531</v>
      </c>
      <c r="AB146" s="499">
        <f t="shared" si="50"/>
        <v>-3568</v>
      </c>
      <c r="AC146" s="499">
        <f t="shared" si="50"/>
        <v>-963</v>
      </c>
      <c r="AD146" s="499">
        <f t="shared" si="50"/>
        <v>-4531</v>
      </c>
      <c r="AE146" s="499">
        <v>0</v>
      </c>
      <c r="AF146" s="499">
        <v>0</v>
      </c>
      <c r="AG146" s="499">
        <v>0</v>
      </c>
      <c r="AH146" s="299"/>
      <c r="AI146" s="296"/>
      <c r="AJ146" s="298"/>
      <c r="AK146" s="298"/>
      <c r="AL146" s="298"/>
      <c r="AM146" s="298"/>
      <c r="AN146" s="298"/>
      <c r="AO146" s="298"/>
      <c r="AP146" s="298"/>
      <c r="AQ146" s="298"/>
      <c r="AR146" s="298"/>
      <c r="AS146" s="298"/>
      <c r="AT146" s="298"/>
      <c r="AU146" s="298"/>
      <c r="AV146" s="298"/>
      <c r="AW146" s="298"/>
      <c r="AX146" s="298"/>
      <c r="AY146" s="298"/>
      <c r="AZ146" s="298"/>
      <c r="BA146" s="298"/>
      <c r="BB146" s="298"/>
      <c r="BC146" s="499"/>
      <c r="BD146" s="499"/>
      <c r="BE146" s="499"/>
      <c r="BF146" s="298"/>
      <c r="BG146" s="298"/>
      <c r="BH146" s="298"/>
      <c r="BI146" s="712"/>
      <c r="BJ146" s="712"/>
      <c r="BK146" s="712"/>
      <c r="BL146" s="712"/>
      <c r="BM146" s="712"/>
      <c r="BN146" s="712"/>
      <c r="BO146" s="712"/>
      <c r="BP146" s="714"/>
      <c r="BQ146" s="714"/>
      <c r="BR146" s="714"/>
      <c r="BS146" s="714"/>
      <c r="BT146" s="714"/>
      <c r="BU146" s="714"/>
      <c r="BV146" s="714"/>
      <c r="BW146" s="712"/>
      <c r="BX146" s="714"/>
      <c r="BY146" s="714"/>
      <c r="BZ146" s="714"/>
      <c r="CA146" s="712"/>
      <c r="CB146" s="297">
        <v>0</v>
      </c>
      <c r="CC146" s="297">
        <v>0</v>
      </c>
      <c r="CD146" s="714"/>
    </row>
    <row r="147" spans="1:82" ht="22.5" x14ac:dyDescent="0.2">
      <c r="A147" s="703"/>
      <c r="B147" s="292" t="s">
        <v>1381</v>
      </c>
      <c r="C147" s="320" t="s">
        <v>749</v>
      </c>
      <c r="D147" s="314"/>
      <c r="E147" s="703"/>
      <c r="F147" s="317" t="s">
        <v>750</v>
      </c>
      <c r="G147" s="296"/>
      <c r="H147" s="296"/>
      <c r="I147" s="296"/>
      <c r="J147" s="297">
        <f t="shared" si="48"/>
        <v>2900</v>
      </c>
      <c r="K147" s="297">
        <f t="shared" si="48"/>
        <v>783</v>
      </c>
      <c r="L147" s="297">
        <f t="shared" si="48"/>
        <v>3683</v>
      </c>
      <c r="M147" s="298">
        <v>2900</v>
      </c>
      <c r="N147" s="298">
        <v>783</v>
      </c>
      <c r="O147" s="298">
        <f t="shared" ref="O147:O163" si="51">SUM(M147:N147)</f>
        <v>3683</v>
      </c>
      <c r="P147" s="499">
        <f t="shared" si="49"/>
        <v>0</v>
      </c>
      <c r="Q147" s="499">
        <f t="shared" si="49"/>
        <v>0</v>
      </c>
      <c r="R147" s="499">
        <f t="shared" si="49"/>
        <v>0</v>
      </c>
      <c r="S147" s="298">
        <v>2900</v>
      </c>
      <c r="T147" s="298">
        <v>783</v>
      </c>
      <c r="U147" s="499">
        <f t="shared" ref="U147:U163" si="52">SUM(S147:T147)</f>
        <v>3683</v>
      </c>
      <c r="V147" s="499"/>
      <c r="W147" s="499"/>
      <c r="X147" s="499"/>
      <c r="Y147" s="298">
        <v>2900</v>
      </c>
      <c r="Z147" s="298">
        <v>783</v>
      </c>
      <c r="AA147" s="499">
        <v>3683</v>
      </c>
      <c r="AB147" s="499">
        <f t="shared" si="50"/>
        <v>0</v>
      </c>
      <c r="AC147" s="499">
        <f t="shared" si="50"/>
        <v>0</v>
      </c>
      <c r="AD147" s="499">
        <f t="shared" si="50"/>
        <v>0</v>
      </c>
      <c r="AE147" s="298">
        <v>2900</v>
      </c>
      <c r="AF147" s="298">
        <v>783</v>
      </c>
      <c r="AG147" s="499">
        <v>3683</v>
      </c>
      <c r="AH147" s="296"/>
      <c r="AI147" s="296"/>
      <c r="AJ147" s="298"/>
      <c r="AK147" s="499"/>
      <c r="AL147" s="499"/>
      <c r="AM147" s="499"/>
      <c r="AN147" s="298"/>
      <c r="AO147" s="298"/>
      <c r="AP147" s="298"/>
      <c r="AQ147" s="298"/>
      <c r="AR147" s="298"/>
      <c r="AS147" s="298"/>
      <c r="AT147" s="298"/>
      <c r="AU147" s="298"/>
      <c r="AV147" s="298"/>
      <c r="AW147" s="298"/>
      <c r="AX147" s="298"/>
      <c r="AY147" s="298"/>
      <c r="AZ147" s="298"/>
      <c r="BA147" s="298"/>
      <c r="BB147" s="298"/>
      <c r="BC147" s="499"/>
      <c r="BD147" s="499"/>
      <c r="BE147" s="499"/>
      <c r="BF147" s="298"/>
      <c r="BG147" s="298"/>
      <c r="BH147" s="298"/>
      <c r="BI147" s="712"/>
      <c r="BJ147" s="712"/>
      <c r="BK147" s="712"/>
      <c r="BL147" s="712"/>
      <c r="BM147" s="712"/>
      <c r="BN147" s="712"/>
      <c r="BO147" s="712"/>
      <c r="BP147" s="714"/>
      <c r="BQ147" s="714"/>
      <c r="BR147" s="714"/>
      <c r="BS147" s="714"/>
      <c r="BT147" s="714"/>
      <c r="BU147" s="714"/>
      <c r="BV147" s="714"/>
      <c r="BW147" s="712"/>
      <c r="BX147" s="714"/>
      <c r="BY147" s="714"/>
      <c r="BZ147" s="714"/>
      <c r="CA147" s="712"/>
      <c r="CB147" s="297">
        <v>2900000</v>
      </c>
      <c r="CC147" s="297">
        <v>3683</v>
      </c>
      <c r="CD147" s="714"/>
    </row>
    <row r="148" spans="1:82" ht="22.5" x14ac:dyDescent="0.2">
      <c r="A148" s="703"/>
      <c r="B148" s="292" t="s">
        <v>1381</v>
      </c>
      <c r="C148" s="320" t="s">
        <v>751</v>
      </c>
      <c r="D148" s="314"/>
      <c r="E148" s="703"/>
      <c r="F148" s="317" t="s">
        <v>752</v>
      </c>
      <c r="G148" s="296"/>
      <c r="H148" s="296"/>
      <c r="I148" s="296"/>
      <c r="J148" s="297">
        <f t="shared" si="48"/>
        <v>3312</v>
      </c>
      <c r="K148" s="297">
        <f t="shared" si="48"/>
        <v>894</v>
      </c>
      <c r="L148" s="297">
        <f t="shared" si="48"/>
        <v>4206</v>
      </c>
      <c r="M148" s="298">
        <v>3312</v>
      </c>
      <c r="N148" s="298">
        <v>894</v>
      </c>
      <c r="O148" s="298">
        <f t="shared" si="51"/>
        <v>4206</v>
      </c>
      <c r="P148" s="499">
        <f t="shared" si="49"/>
        <v>0</v>
      </c>
      <c r="Q148" s="499">
        <f t="shared" si="49"/>
        <v>0</v>
      </c>
      <c r="R148" s="499">
        <f t="shared" si="49"/>
        <v>0</v>
      </c>
      <c r="S148" s="298">
        <v>3312</v>
      </c>
      <c r="T148" s="298">
        <v>894</v>
      </c>
      <c r="U148" s="499">
        <f t="shared" si="52"/>
        <v>4206</v>
      </c>
      <c r="V148" s="499"/>
      <c r="W148" s="499"/>
      <c r="X148" s="499"/>
      <c r="Y148" s="298">
        <v>3312</v>
      </c>
      <c r="Z148" s="298">
        <v>894</v>
      </c>
      <c r="AA148" s="499">
        <v>4206</v>
      </c>
      <c r="AB148" s="499">
        <f t="shared" si="50"/>
        <v>0</v>
      </c>
      <c r="AC148" s="499">
        <f t="shared" si="50"/>
        <v>0</v>
      </c>
      <c r="AD148" s="499">
        <f t="shared" si="50"/>
        <v>0</v>
      </c>
      <c r="AE148" s="298">
        <v>3312</v>
      </c>
      <c r="AF148" s="298">
        <v>894</v>
      </c>
      <c r="AG148" s="499">
        <v>4206</v>
      </c>
      <c r="AH148" s="296"/>
      <c r="AI148" s="296"/>
      <c r="AJ148" s="298"/>
      <c r="AK148" s="499"/>
      <c r="AL148" s="499"/>
      <c r="AM148" s="499"/>
      <c r="AN148" s="298"/>
      <c r="AO148" s="298"/>
      <c r="AP148" s="298"/>
      <c r="AQ148" s="298"/>
      <c r="AR148" s="298"/>
      <c r="AS148" s="298"/>
      <c r="AT148" s="298"/>
      <c r="AU148" s="298"/>
      <c r="AV148" s="298"/>
      <c r="AW148" s="298"/>
      <c r="AX148" s="298"/>
      <c r="AY148" s="298"/>
      <c r="AZ148" s="298"/>
      <c r="BA148" s="298"/>
      <c r="BB148" s="298"/>
      <c r="BC148" s="499"/>
      <c r="BD148" s="499"/>
      <c r="BE148" s="499"/>
      <c r="BF148" s="298"/>
      <c r="BG148" s="298"/>
      <c r="BH148" s="298"/>
      <c r="BI148" s="712"/>
      <c r="BJ148" s="712"/>
      <c r="BK148" s="712"/>
      <c r="BL148" s="712"/>
      <c r="BM148" s="712"/>
      <c r="BN148" s="712"/>
      <c r="BO148" s="712"/>
      <c r="BP148" s="717"/>
      <c r="BQ148" s="714"/>
      <c r="BR148" s="714"/>
      <c r="BS148" s="714"/>
      <c r="BT148" s="714"/>
      <c r="BU148" s="714"/>
      <c r="BV148" s="714"/>
      <c r="BW148" s="712"/>
      <c r="BX148" s="714"/>
      <c r="BY148" s="717"/>
      <c r="BZ148" s="714"/>
      <c r="CA148" s="712"/>
      <c r="CB148" s="297">
        <v>3312000</v>
      </c>
      <c r="CC148" s="297">
        <v>4206</v>
      </c>
      <c r="CD148" s="714"/>
    </row>
    <row r="149" spans="1:82" ht="22.5" x14ac:dyDescent="0.2">
      <c r="A149" s="703"/>
      <c r="B149" s="292" t="s">
        <v>1381</v>
      </c>
      <c r="C149" s="320" t="s">
        <v>1197</v>
      </c>
      <c r="D149" s="314"/>
      <c r="E149" s="703"/>
      <c r="F149" s="317" t="s">
        <v>1198</v>
      </c>
      <c r="G149" s="296"/>
      <c r="H149" s="296"/>
      <c r="I149" s="296"/>
      <c r="J149" s="297"/>
      <c r="K149" s="297"/>
      <c r="L149" s="297"/>
      <c r="M149" s="298"/>
      <c r="N149" s="298"/>
      <c r="O149" s="499"/>
      <c r="P149" s="499">
        <f t="shared" si="49"/>
        <v>1440</v>
      </c>
      <c r="Q149" s="499">
        <f t="shared" si="49"/>
        <v>389</v>
      </c>
      <c r="R149" s="499">
        <f t="shared" si="49"/>
        <v>1829</v>
      </c>
      <c r="S149" s="499">
        <v>1440</v>
      </c>
      <c r="T149" s="499">
        <v>389</v>
      </c>
      <c r="U149" s="499">
        <f t="shared" si="52"/>
        <v>1829</v>
      </c>
      <c r="V149" s="499"/>
      <c r="W149" s="499"/>
      <c r="X149" s="499"/>
      <c r="Y149" s="499">
        <v>1440</v>
      </c>
      <c r="Z149" s="499">
        <v>389</v>
      </c>
      <c r="AA149" s="499">
        <v>1829</v>
      </c>
      <c r="AB149" s="499">
        <f t="shared" si="50"/>
        <v>0</v>
      </c>
      <c r="AC149" s="499">
        <f t="shared" si="50"/>
        <v>0</v>
      </c>
      <c r="AD149" s="499">
        <f t="shared" si="50"/>
        <v>0</v>
      </c>
      <c r="AE149" s="499">
        <v>1440</v>
      </c>
      <c r="AF149" s="499">
        <v>389</v>
      </c>
      <c r="AG149" s="499">
        <v>1829</v>
      </c>
      <c r="AH149" s="296"/>
      <c r="AI149" s="296"/>
      <c r="AJ149" s="298"/>
      <c r="AK149" s="499"/>
      <c r="AL149" s="499"/>
      <c r="AM149" s="499"/>
      <c r="AN149" s="298"/>
      <c r="AO149" s="298"/>
      <c r="AP149" s="298"/>
      <c r="AQ149" s="298"/>
      <c r="AR149" s="298"/>
      <c r="AS149" s="298"/>
      <c r="AT149" s="298"/>
      <c r="AU149" s="298"/>
      <c r="AV149" s="298"/>
      <c r="AW149" s="298"/>
      <c r="AX149" s="298"/>
      <c r="AY149" s="298"/>
      <c r="AZ149" s="298"/>
      <c r="BA149" s="298"/>
      <c r="BB149" s="298"/>
      <c r="BC149" s="499"/>
      <c r="BD149" s="499"/>
      <c r="BE149" s="499"/>
      <c r="BF149" s="298"/>
      <c r="BG149" s="298"/>
      <c r="BH149" s="298"/>
      <c r="BI149" s="712"/>
      <c r="BJ149" s="712"/>
      <c r="BK149" s="712"/>
      <c r="BL149" s="712"/>
      <c r="BM149" s="712"/>
      <c r="BN149" s="712"/>
      <c r="BO149" s="712"/>
      <c r="BP149" s="518"/>
      <c r="BQ149" s="714"/>
      <c r="BR149" s="714"/>
      <c r="BS149" s="714"/>
      <c r="BT149" s="714"/>
      <c r="BU149" s="714"/>
      <c r="BV149" s="714"/>
      <c r="BW149" s="712"/>
      <c r="BX149" s="714"/>
      <c r="BY149" s="518"/>
      <c r="BZ149" s="714"/>
      <c r="CA149" s="712"/>
      <c r="CB149" s="297">
        <v>1440000</v>
      </c>
      <c r="CC149" s="297">
        <v>1829</v>
      </c>
      <c r="CD149" s="714"/>
    </row>
    <row r="150" spans="1:82" ht="22.5" x14ac:dyDescent="0.2">
      <c r="A150" s="703"/>
      <c r="B150" s="292" t="s">
        <v>1381</v>
      </c>
      <c r="C150" s="320" t="s">
        <v>1199</v>
      </c>
      <c r="D150" s="314"/>
      <c r="E150" s="703"/>
      <c r="F150" s="317" t="s">
        <v>1200</v>
      </c>
      <c r="G150" s="296"/>
      <c r="H150" s="296"/>
      <c r="I150" s="296"/>
      <c r="J150" s="297"/>
      <c r="K150" s="297"/>
      <c r="L150" s="297"/>
      <c r="M150" s="298"/>
      <c r="N150" s="298"/>
      <c r="O150" s="499"/>
      <c r="P150" s="499">
        <f t="shared" si="49"/>
        <v>5200</v>
      </c>
      <c r="Q150" s="499">
        <f t="shared" si="49"/>
        <v>1404</v>
      </c>
      <c r="R150" s="499">
        <f t="shared" si="49"/>
        <v>6604</v>
      </c>
      <c r="S150" s="499">
        <v>5200</v>
      </c>
      <c r="T150" s="499">
        <v>1404</v>
      </c>
      <c r="U150" s="499">
        <f t="shared" si="52"/>
        <v>6604</v>
      </c>
      <c r="V150" s="499"/>
      <c r="W150" s="499"/>
      <c r="X150" s="499"/>
      <c r="Y150" s="499">
        <v>5200</v>
      </c>
      <c r="Z150" s="499">
        <v>1404</v>
      </c>
      <c r="AA150" s="499">
        <v>6604</v>
      </c>
      <c r="AB150" s="499">
        <f t="shared" si="50"/>
        <v>0</v>
      </c>
      <c r="AC150" s="499">
        <f t="shared" si="50"/>
        <v>0</v>
      </c>
      <c r="AD150" s="499">
        <f t="shared" si="50"/>
        <v>0</v>
      </c>
      <c r="AE150" s="499">
        <v>5200</v>
      </c>
      <c r="AF150" s="499">
        <v>1404</v>
      </c>
      <c r="AG150" s="499">
        <v>6604</v>
      </c>
      <c r="AH150" s="296"/>
      <c r="AI150" s="296"/>
      <c r="AJ150" s="298"/>
      <c r="AK150" s="499"/>
      <c r="AL150" s="499"/>
      <c r="AM150" s="499"/>
      <c r="AN150" s="298"/>
      <c r="AO150" s="298"/>
      <c r="AP150" s="298"/>
      <c r="AQ150" s="298"/>
      <c r="AR150" s="298"/>
      <c r="AS150" s="298"/>
      <c r="AT150" s="298"/>
      <c r="AU150" s="298"/>
      <c r="AV150" s="298"/>
      <c r="AW150" s="298"/>
      <c r="AX150" s="298"/>
      <c r="AY150" s="298"/>
      <c r="AZ150" s="298"/>
      <c r="BA150" s="298"/>
      <c r="BB150" s="298"/>
      <c r="BC150" s="499"/>
      <c r="BD150" s="499"/>
      <c r="BE150" s="499"/>
      <c r="BF150" s="298"/>
      <c r="BG150" s="298"/>
      <c r="BH150" s="298"/>
      <c r="BI150" s="712"/>
      <c r="BJ150" s="712"/>
      <c r="BK150" s="712"/>
      <c r="BL150" s="712"/>
      <c r="BM150" s="712"/>
      <c r="BN150" s="712"/>
      <c r="BO150" s="712"/>
      <c r="BP150" s="518"/>
      <c r="BQ150" s="714"/>
      <c r="BR150" s="714"/>
      <c r="BS150" s="714"/>
      <c r="BT150" s="714"/>
      <c r="BU150" s="714"/>
      <c r="BV150" s="714"/>
      <c r="BW150" s="712"/>
      <c r="BX150" s="714"/>
      <c r="BY150" s="518"/>
      <c r="BZ150" s="714"/>
      <c r="CA150" s="712"/>
      <c r="CB150" s="297">
        <v>5200000</v>
      </c>
      <c r="CC150" s="297">
        <v>6604</v>
      </c>
      <c r="CD150" s="714"/>
    </row>
    <row r="151" spans="1:82" ht="22.5" x14ac:dyDescent="0.2">
      <c r="A151" s="703"/>
      <c r="B151" s="292" t="s">
        <v>1381</v>
      </c>
      <c r="C151" s="320" t="s">
        <v>1201</v>
      </c>
      <c r="D151" s="314"/>
      <c r="E151" s="703"/>
      <c r="F151" s="317" t="s">
        <v>1202</v>
      </c>
      <c r="G151" s="296"/>
      <c r="H151" s="296"/>
      <c r="I151" s="296"/>
      <c r="J151" s="297"/>
      <c r="K151" s="297"/>
      <c r="L151" s="297"/>
      <c r="M151" s="298"/>
      <c r="N151" s="298"/>
      <c r="O151" s="499"/>
      <c r="P151" s="499">
        <f t="shared" si="49"/>
        <v>5260</v>
      </c>
      <c r="Q151" s="499">
        <f t="shared" si="49"/>
        <v>1420</v>
      </c>
      <c r="R151" s="499">
        <f t="shared" si="49"/>
        <v>6680</v>
      </c>
      <c r="S151" s="499">
        <v>5260</v>
      </c>
      <c r="T151" s="499">
        <v>1420</v>
      </c>
      <c r="U151" s="499">
        <f t="shared" si="52"/>
        <v>6680</v>
      </c>
      <c r="V151" s="499"/>
      <c r="W151" s="499"/>
      <c r="X151" s="499"/>
      <c r="Y151" s="499">
        <v>5260</v>
      </c>
      <c r="Z151" s="499">
        <v>1420</v>
      </c>
      <c r="AA151" s="499">
        <v>6680</v>
      </c>
      <c r="AB151" s="499">
        <f t="shared" si="50"/>
        <v>0</v>
      </c>
      <c r="AC151" s="499">
        <f t="shared" si="50"/>
        <v>0</v>
      </c>
      <c r="AD151" s="499">
        <f t="shared" si="50"/>
        <v>0</v>
      </c>
      <c r="AE151" s="499">
        <v>5260</v>
      </c>
      <c r="AF151" s="499">
        <v>1420</v>
      </c>
      <c r="AG151" s="499">
        <v>6680</v>
      </c>
      <c r="AH151" s="296"/>
      <c r="AI151" s="296"/>
      <c r="AJ151" s="298"/>
      <c r="AK151" s="499"/>
      <c r="AL151" s="499"/>
      <c r="AM151" s="499"/>
      <c r="AN151" s="298"/>
      <c r="AO151" s="298"/>
      <c r="AP151" s="298"/>
      <c r="AQ151" s="298"/>
      <c r="AR151" s="298"/>
      <c r="AS151" s="298"/>
      <c r="AT151" s="298"/>
      <c r="AU151" s="298"/>
      <c r="AV151" s="298"/>
      <c r="AW151" s="298"/>
      <c r="AX151" s="298"/>
      <c r="AY151" s="298"/>
      <c r="AZ151" s="298"/>
      <c r="BA151" s="298"/>
      <c r="BB151" s="298"/>
      <c r="BC151" s="499"/>
      <c r="BD151" s="499"/>
      <c r="BE151" s="499"/>
      <c r="BF151" s="298"/>
      <c r="BG151" s="298"/>
      <c r="BH151" s="298"/>
      <c r="BI151" s="712"/>
      <c r="BJ151" s="712"/>
      <c r="BK151" s="712"/>
      <c r="BL151" s="712"/>
      <c r="BM151" s="712"/>
      <c r="BN151" s="712"/>
      <c r="BO151" s="712"/>
      <c r="BP151" s="518"/>
      <c r="BQ151" s="714"/>
      <c r="BR151" s="714"/>
      <c r="BS151" s="714"/>
      <c r="BT151" s="714"/>
      <c r="BU151" s="714"/>
      <c r="BV151" s="714"/>
      <c r="BW151" s="712"/>
      <c r="BX151" s="714"/>
      <c r="BY151" s="518"/>
      <c r="BZ151" s="714"/>
      <c r="CA151" s="712"/>
      <c r="CB151" s="297">
        <v>5260000</v>
      </c>
      <c r="CC151" s="297">
        <v>6680</v>
      </c>
      <c r="CD151" s="714"/>
    </row>
    <row r="152" spans="1:82" ht="22.5" x14ac:dyDescent="0.2">
      <c r="A152" s="703"/>
      <c r="B152" s="292" t="s">
        <v>1381</v>
      </c>
      <c r="C152" s="305" t="s">
        <v>1452</v>
      </c>
      <c r="D152" s="319" t="s">
        <v>729</v>
      </c>
      <c r="E152" s="703"/>
      <c r="F152" s="317" t="s">
        <v>1203</v>
      </c>
      <c r="G152" s="296"/>
      <c r="H152" s="296"/>
      <c r="I152" s="296"/>
      <c r="J152" s="297"/>
      <c r="K152" s="297"/>
      <c r="L152" s="297"/>
      <c r="M152" s="298"/>
      <c r="N152" s="298"/>
      <c r="O152" s="499"/>
      <c r="P152" s="499">
        <f t="shared" si="49"/>
        <v>82207</v>
      </c>
      <c r="Q152" s="499">
        <f t="shared" si="49"/>
        <v>22196</v>
      </c>
      <c r="R152" s="499">
        <f t="shared" si="49"/>
        <v>104403</v>
      </c>
      <c r="S152" s="499">
        <v>82207</v>
      </c>
      <c r="T152" s="499">
        <v>22196</v>
      </c>
      <c r="U152" s="499">
        <f t="shared" si="52"/>
        <v>104403</v>
      </c>
      <c r="V152" s="499"/>
      <c r="W152" s="499"/>
      <c r="X152" s="499"/>
      <c r="Y152" s="499">
        <v>82207</v>
      </c>
      <c r="Z152" s="499">
        <v>22196</v>
      </c>
      <c r="AA152" s="499">
        <v>104403</v>
      </c>
      <c r="AB152" s="499">
        <f t="shared" si="50"/>
        <v>-52313</v>
      </c>
      <c r="AC152" s="499">
        <f t="shared" si="50"/>
        <v>-22196</v>
      </c>
      <c r="AD152" s="499">
        <f t="shared" si="50"/>
        <v>-74509</v>
      </c>
      <c r="AE152" s="499">
        <v>29894</v>
      </c>
      <c r="AF152" s="499">
        <v>0</v>
      </c>
      <c r="AG152" s="499">
        <f>SUM(AE152:AF152)</f>
        <v>29894</v>
      </c>
      <c r="AH152" s="296"/>
      <c r="AI152" s="296"/>
      <c r="AJ152" s="298"/>
      <c r="AK152" s="499"/>
      <c r="AL152" s="499"/>
      <c r="AM152" s="499"/>
      <c r="AN152" s="298"/>
      <c r="AO152" s="298"/>
      <c r="AP152" s="298"/>
      <c r="AQ152" s="298"/>
      <c r="AR152" s="298"/>
      <c r="AS152" s="298"/>
      <c r="AT152" s="298"/>
      <c r="AU152" s="298"/>
      <c r="AV152" s="298"/>
      <c r="AW152" s="298"/>
      <c r="AX152" s="298"/>
      <c r="AY152" s="298"/>
      <c r="AZ152" s="298"/>
      <c r="BA152" s="298"/>
      <c r="BB152" s="298"/>
      <c r="BC152" s="499"/>
      <c r="BD152" s="499"/>
      <c r="BE152" s="499"/>
      <c r="BF152" s="298"/>
      <c r="BG152" s="298"/>
      <c r="BH152" s="298"/>
      <c r="BI152" s="712"/>
      <c r="BJ152" s="712"/>
      <c r="BK152" s="712"/>
      <c r="BL152" s="712"/>
      <c r="BM152" s="712"/>
      <c r="BN152" s="712"/>
      <c r="BO152" s="712"/>
      <c r="BP152" s="518"/>
      <c r="BQ152" s="714"/>
      <c r="BR152" s="714"/>
      <c r="BS152" s="717"/>
      <c r="BT152" s="714"/>
      <c r="BU152" s="714"/>
      <c r="BV152" s="714"/>
      <c r="BW152" s="712"/>
      <c r="BX152" s="714"/>
      <c r="BY152" s="518"/>
      <c r="BZ152" s="714"/>
      <c r="CA152" s="712"/>
      <c r="CB152" s="297">
        <v>29893600</v>
      </c>
      <c r="CC152" s="297">
        <v>29894</v>
      </c>
      <c r="CD152" s="714"/>
    </row>
    <row r="153" spans="1:82" ht="33.75" x14ac:dyDescent="0.2">
      <c r="A153" s="703"/>
      <c r="B153" s="292" t="s">
        <v>1381</v>
      </c>
      <c r="C153" s="305" t="s">
        <v>1453</v>
      </c>
      <c r="D153" s="314"/>
      <c r="E153" s="703"/>
      <c r="F153" s="317" t="s">
        <v>1454</v>
      </c>
      <c r="G153" s="296"/>
      <c r="H153" s="296"/>
      <c r="I153" s="296"/>
      <c r="J153" s="297"/>
      <c r="K153" s="297"/>
      <c r="L153" s="297"/>
      <c r="M153" s="298"/>
      <c r="N153" s="298"/>
      <c r="O153" s="499"/>
      <c r="P153" s="499"/>
      <c r="Q153" s="499"/>
      <c r="R153" s="499"/>
      <c r="S153" s="499"/>
      <c r="T153" s="499"/>
      <c r="U153" s="499"/>
      <c r="V153" s="499"/>
      <c r="W153" s="499"/>
      <c r="X153" s="499"/>
      <c r="Y153" s="499"/>
      <c r="Z153" s="499"/>
      <c r="AA153" s="499"/>
      <c r="AB153" s="499">
        <f t="shared" si="50"/>
        <v>0</v>
      </c>
      <c r="AC153" s="499">
        <f t="shared" si="50"/>
        <v>0</v>
      </c>
      <c r="AD153" s="499">
        <f t="shared" si="50"/>
        <v>0</v>
      </c>
      <c r="AE153" s="499">
        <v>0</v>
      </c>
      <c r="AF153" s="499">
        <v>0</v>
      </c>
      <c r="AG153" s="499">
        <v>0</v>
      </c>
      <c r="AH153" s="296"/>
      <c r="AI153" s="296"/>
      <c r="AJ153" s="298"/>
      <c r="AK153" s="499"/>
      <c r="AL153" s="499"/>
      <c r="AM153" s="499"/>
      <c r="AN153" s="298"/>
      <c r="AO153" s="298"/>
      <c r="AP153" s="298"/>
      <c r="AQ153" s="298"/>
      <c r="AR153" s="298"/>
      <c r="AS153" s="298"/>
      <c r="AT153" s="298"/>
      <c r="AU153" s="298"/>
      <c r="AV153" s="298"/>
      <c r="AW153" s="298"/>
      <c r="AX153" s="298"/>
      <c r="AY153" s="298"/>
      <c r="AZ153" s="298"/>
      <c r="BA153" s="298"/>
      <c r="BB153" s="298"/>
      <c r="BC153" s="499"/>
      <c r="BD153" s="499"/>
      <c r="BE153" s="499"/>
      <c r="BF153" s="298"/>
      <c r="BG153" s="298"/>
      <c r="BH153" s="298"/>
      <c r="BI153" s="712"/>
      <c r="BJ153" s="712"/>
      <c r="BK153" s="712"/>
      <c r="BL153" s="712"/>
      <c r="BM153" s="712"/>
      <c r="BN153" s="712"/>
      <c r="BO153" s="712"/>
      <c r="BP153" s="518"/>
      <c r="BQ153" s="714"/>
      <c r="BR153" s="714"/>
      <c r="BS153" s="518"/>
      <c r="BT153" s="714"/>
      <c r="BU153" s="714"/>
      <c r="BV153" s="714"/>
      <c r="BW153" s="712"/>
      <c r="BX153" s="714"/>
      <c r="BY153" s="518"/>
      <c r="BZ153" s="714"/>
      <c r="CA153" s="712"/>
      <c r="CB153" s="297"/>
      <c r="CC153" s="297">
        <v>0</v>
      </c>
      <c r="CD153" s="714"/>
    </row>
    <row r="154" spans="1:82" ht="45" x14ac:dyDescent="0.2">
      <c r="A154" s="703"/>
      <c r="B154" s="292" t="s">
        <v>1381</v>
      </c>
      <c r="C154" s="305" t="s">
        <v>1455</v>
      </c>
      <c r="D154" s="314"/>
      <c r="E154" s="703"/>
      <c r="F154" s="317" t="s">
        <v>1456</v>
      </c>
      <c r="G154" s="296"/>
      <c r="H154" s="296"/>
      <c r="I154" s="296"/>
      <c r="J154" s="297"/>
      <c r="K154" s="297"/>
      <c r="L154" s="297"/>
      <c r="M154" s="298"/>
      <c r="N154" s="298"/>
      <c r="O154" s="499"/>
      <c r="P154" s="499"/>
      <c r="Q154" s="499"/>
      <c r="R154" s="499"/>
      <c r="S154" s="499"/>
      <c r="T154" s="499"/>
      <c r="U154" s="499"/>
      <c r="V154" s="499"/>
      <c r="W154" s="499"/>
      <c r="X154" s="499"/>
      <c r="Y154" s="499"/>
      <c r="Z154" s="499"/>
      <c r="AA154" s="499"/>
      <c r="AB154" s="499">
        <f t="shared" si="50"/>
        <v>920</v>
      </c>
      <c r="AC154" s="499">
        <f t="shared" si="50"/>
        <v>249</v>
      </c>
      <c r="AD154" s="499">
        <f t="shared" si="50"/>
        <v>1169</v>
      </c>
      <c r="AE154" s="499">
        <v>920</v>
      </c>
      <c r="AF154" s="499">
        <v>249</v>
      </c>
      <c r="AG154" s="499">
        <f>SUM(AE154:AF154)</f>
        <v>1169</v>
      </c>
      <c r="AH154" s="296"/>
      <c r="AI154" s="296"/>
      <c r="AJ154" s="298"/>
      <c r="AK154" s="499"/>
      <c r="AL154" s="499"/>
      <c r="AM154" s="499"/>
      <c r="AN154" s="298"/>
      <c r="AO154" s="298"/>
      <c r="AP154" s="298"/>
      <c r="AQ154" s="298"/>
      <c r="AR154" s="298"/>
      <c r="AS154" s="298"/>
      <c r="AT154" s="298"/>
      <c r="AU154" s="298"/>
      <c r="AV154" s="298"/>
      <c r="AW154" s="298"/>
      <c r="AX154" s="298"/>
      <c r="AY154" s="298"/>
      <c r="AZ154" s="298"/>
      <c r="BA154" s="298"/>
      <c r="BB154" s="298"/>
      <c r="BC154" s="499"/>
      <c r="BD154" s="499"/>
      <c r="BE154" s="499"/>
      <c r="BF154" s="298"/>
      <c r="BG154" s="298"/>
      <c r="BH154" s="298"/>
      <c r="BI154" s="712"/>
      <c r="BJ154" s="713"/>
      <c r="BK154" s="712"/>
      <c r="BL154" s="713"/>
      <c r="BM154" s="712"/>
      <c r="BN154" s="712"/>
      <c r="BO154" s="712"/>
      <c r="BP154" s="518"/>
      <c r="BQ154" s="714"/>
      <c r="BR154" s="714"/>
      <c r="BS154" s="518"/>
      <c r="BT154" s="714"/>
      <c r="BU154" s="714"/>
      <c r="BV154" s="714"/>
      <c r="BW154" s="712"/>
      <c r="BX154" s="714"/>
      <c r="BY154" s="518"/>
      <c r="BZ154" s="714"/>
      <c r="CA154" s="712"/>
      <c r="CB154" s="297">
        <v>920000</v>
      </c>
      <c r="CC154" s="297">
        <v>1169</v>
      </c>
      <c r="CD154" s="714"/>
    </row>
    <row r="155" spans="1:82" ht="22.5" x14ac:dyDescent="0.2">
      <c r="A155" s="703"/>
      <c r="B155" s="292" t="s">
        <v>1381</v>
      </c>
      <c r="C155" s="305" t="s">
        <v>1457</v>
      </c>
      <c r="D155" s="314"/>
      <c r="E155" s="703"/>
      <c r="F155" s="317" t="s">
        <v>1458</v>
      </c>
      <c r="G155" s="296"/>
      <c r="H155" s="296"/>
      <c r="I155" s="296"/>
      <c r="J155" s="297"/>
      <c r="K155" s="297"/>
      <c r="L155" s="297"/>
      <c r="M155" s="298"/>
      <c r="N155" s="298"/>
      <c r="O155" s="499"/>
      <c r="P155" s="499"/>
      <c r="Q155" s="499"/>
      <c r="R155" s="499"/>
      <c r="S155" s="499"/>
      <c r="T155" s="499"/>
      <c r="U155" s="499"/>
      <c r="V155" s="499"/>
      <c r="W155" s="499"/>
      <c r="X155" s="499"/>
      <c r="Y155" s="499"/>
      <c r="Z155" s="499"/>
      <c r="AA155" s="499"/>
      <c r="AB155" s="499">
        <f t="shared" si="50"/>
        <v>3100</v>
      </c>
      <c r="AC155" s="499">
        <f t="shared" si="50"/>
        <v>837</v>
      </c>
      <c r="AD155" s="499">
        <f t="shared" si="50"/>
        <v>3937</v>
      </c>
      <c r="AE155" s="499">
        <v>3100</v>
      </c>
      <c r="AF155" s="499">
        <v>837</v>
      </c>
      <c r="AG155" s="499">
        <f>SUM(AE155:AF155)</f>
        <v>3937</v>
      </c>
      <c r="AH155" s="296"/>
      <c r="AI155" s="296"/>
      <c r="AJ155" s="298"/>
      <c r="AK155" s="499"/>
      <c r="AL155" s="499"/>
      <c r="AM155" s="499"/>
      <c r="AN155" s="298"/>
      <c r="AO155" s="298"/>
      <c r="AP155" s="298"/>
      <c r="AQ155" s="298"/>
      <c r="AR155" s="298"/>
      <c r="AS155" s="298"/>
      <c r="AT155" s="298"/>
      <c r="AU155" s="298"/>
      <c r="AV155" s="298"/>
      <c r="AW155" s="298"/>
      <c r="AX155" s="298"/>
      <c r="AY155" s="298"/>
      <c r="AZ155" s="298"/>
      <c r="BA155" s="298"/>
      <c r="BB155" s="298"/>
      <c r="BC155" s="499"/>
      <c r="BD155" s="499"/>
      <c r="BE155" s="499"/>
      <c r="BF155" s="298"/>
      <c r="BG155" s="298"/>
      <c r="BH155" s="298"/>
      <c r="BI155" s="712"/>
      <c r="BJ155" s="521"/>
      <c r="BK155" s="712"/>
      <c r="BL155" s="521"/>
      <c r="BM155" s="712"/>
      <c r="BN155" s="712"/>
      <c r="BO155" s="712"/>
      <c r="BP155" s="518"/>
      <c r="BQ155" s="717"/>
      <c r="BR155" s="714"/>
      <c r="BS155" s="518"/>
      <c r="BT155" s="714"/>
      <c r="BU155" s="714"/>
      <c r="BV155" s="714"/>
      <c r="BW155" s="712"/>
      <c r="BX155" s="714"/>
      <c r="BY155" s="518"/>
      <c r="BZ155" s="717"/>
      <c r="CA155" s="712"/>
      <c r="CB155" s="297">
        <v>3100000</v>
      </c>
      <c r="CC155" s="297">
        <v>3937</v>
      </c>
      <c r="CD155" s="717"/>
    </row>
    <row r="156" spans="1:82" x14ac:dyDescent="0.2">
      <c r="A156" s="702" t="s">
        <v>414</v>
      </c>
      <c r="B156" s="292" t="s">
        <v>1381</v>
      </c>
      <c r="C156" s="293" t="s">
        <v>1143</v>
      </c>
      <c r="D156" s="314"/>
      <c r="E156" s="702" t="s">
        <v>754</v>
      </c>
      <c r="F156" s="294" t="s">
        <v>1459</v>
      </c>
      <c r="G156" s="296">
        <v>3900</v>
      </c>
      <c r="H156" s="296">
        <v>1053</v>
      </c>
      <c r="I156" s="296">
        <f>SUM(G156:H156)</f>
        <v>4953</v>
      </c>
      <c r="J156" s="297">
        <f t="shared" si="48"/>
        <v>0</v>
      </c>
      <c r="K156" s="297">
        <f t="shared" si="48"/>
        <v>0</v>
      </c>
      <c r="L156" s="297">
        <f t="shared" si="48"/>
        <v>0</v>
      </c>
      <c r="M156" s="296">
        <v>3900</v>
      </c>
      <c r="N156" s="296">
        <v>1053</v>
      </c>
      <c r="O156" s="296">
        <f t="shared" si="51"/>
        <v>4953</v>
      </c>
      <c r="P156" s="499">
        <f t="shared" si="49"/>
        <v>0</v>
      </c>
      <c r="Q156" s="499">
        <f t="shared" si="49"/>
        <v>0</v>
      </c>
      <c r="R156" s="499">
        <f t="shared" si="49"/>
        <v>0</v>
      </c>
      <c r="S156" s="499">
        <v>3900</v>
      </c>
      <c r="T156" s="499">
        <v>1053</v>
      </c>
      <c r="U156" s="499">
        <f t="shared" si="52"/>
        <v>4953</v>
      </c>
      <c r="V156" s="499"/>
      <c r="W156" s="499"/>
      <c r="X156" s="499"/>
      <c r="Y156" s="499">
        <v>3900</v>
      </c>
      <c r="Z156" s="499">
        <v>1053</v>
      </c>
      <c r="AA156" s="499">
        <v>4953</v>
      </c>
      <c r="AB156" s="499">
        <f t="shared" si="50"/>
        <v>-3900</v>
      </c>
      <c r="AC156" s="499">
        <f t="shared" si="50"/>
        <v>-1053</v>
      </c>
      <c r="AD156" s="499">
        <f t="shared" si="50"/>
        <v>-4953</v>
      </c>
      <c r="AE156" s="499">
        <v>0</v>
      </c>
      <c r="AF156" s="499">
        <v>0</v>
      </c>
      <c r="AG156" s="499">
        <v>0</v>
      </c>
      <c r="AH156" s="299"/>
      <c r="AI156" s="296"/>
      <c r="AJ156" s="298"/>
      <c r="AK156" s="298"/>
      <c r="AL156" s="298"/>
      <c r="AM156" s="298"/>
      <c r="AN156" s="298"/>
      <c r="AO156" s="298"/>
      <c r="AP156" s="298"/>
      <c r="AQ156" s="298"/>
      <c r="AR156" s="298"/>
      <c r="AS156" s="298"/>
      <c r="AT156" s="298"/>
      <c r="AU156" s="298"/>
      <c r="AV156" s="298"/>
      <c r="AW156" s="298"/>
      <c r="AX156" s="298"/>
      <c r="AY156" s="298"/>
      <c r="AZ156" s="298"/>
      <c r="BA156" s="298"/>
      <c r="BB156" s="298"/>
      <c r="BC156" s="499"/>
      <c r="BD156" s="499"/>
      <c r="BE156" s="499"/>
      <c r="BF156" s="298"/>
      <c r="BG156" s="298"/>
      <c r="BH156" s="298"/>
      <c r="BI156" s="711">
        <f>SUM(I156:I167)</f>
        <v>124953</v>
      </c>
      <c r="BJ156" s="711">
        <f>SUM(L156:L163)</f>
        <v>16245</v>
      </c>
      <c r="BK156" s="711">
        <f>SUM(O156:O163)</f>
        <v>141198</v>
      </c>
      <c r="BL156" s="711">
        <f>SUM(R156:R163)</f>
        <v>0</v>
      </c>
      <c r="BM156" s="711">
        <f>SUM(U156:U163)</f>
        <v>141198</v>
      </c>
      <c r="BN156" s="711">
        <f>SUM(AD156:AD163)</f>
        <v>-115051</v>
      </c>
      <c r="BO156" s="711">
        <f>SUM(AA156:AA167)</f>
        <v>141198</v>
      </c>
      <c r="BP156" s="711"/>
      <c r="BQ156" s="711">
        <f>SUM(AG156:AG167)</f>
        <v>30962</v>
      </c>
      <c r="BR156" s="718">
        <f>SUM(AJ156:AJ167)</f>
        <v>0</v>
      </c>
      <c r="BS156" s="718">
        <f>SUM(AM156:AM163)</f>
        <v>0</v>
      </c>
      <c r="BT156" s="718">
        <f>SUM(AP156:AP163)</f>
        <v>0</v>
      </c>
      <c r="BU156" s="718">
        <f>SUM(AS156:AS163)</f>
        <v>0</v>
      </c>
      <c r="BV156" s="718">
        <f>SUM(AV156:AV163)</f>
        <v>0</v>
      </c>
      <c r="BW156" s="711">
        <f>SUM(BE156:BE163)</f>
        <v>0</v>
      </c>
      <c r="BX156" s="718">
        <f>SUM(BB156:BB167)</f>
        <v>0</v>
      </c>
      <c r="BY156" s="718"/>
      <c r="BZ156" s="718">
        <f>SUM(BH156:BH167)</f>
        <v>0</v>
      </c>
      <c r="CA156" s="711">
        <f>SUM(BQ156,BZ156)</f>
        <v>30962</v>
      </c>
      <c r="CB156" s="297">
        <v>0</v>
      </c>
      <c r="CC156" s="297">
        <v>0</v>
      </c>
      <c r="CD156" s="711">
        <f>SUM(CC156:CC167)</f>
        <v>30962</v>
      </c>
    </row>
    <row r="157" spans="1:82" x14ac:dyDescent="0.2">
      <c r="A157" s="703"/>
      <c r="B157" s="292" t="s">
        <v>1381</v>
      </c>
      <c r="C157" s="293" t="s">
        <v>1143</v>
      </c>
      <c r="D157" s="319" t="s">
        <v>729</v>
      </c>
      <c r="E157" s="703"/>
      <c r="F157" s="294" t="s">
        <v>415</v>
      </c>
      <c r="G157" s="516">
        <v>94488</v>
      </c>
      <c r="H157" s="516">
        <v>25512</v>
      </c>
      <c r="I157" s="516">
        <f>SUM(G157:H157)</f>
        <v>120000</v>
      </c>
      <c r="J157" s="297">
        <f t="shared" si="48"/>
        <v>-94488</v>
      </c>
      <c r="K157" s="297">
        <f t="shared" si="48"/>
        <v>-25512</v>
      </c>
      <c r="L157" s="297">
        <f t="shared" si="48"/>
        <v>-120000</v>
      </c>
      <c r="M157" s="296">
        <v>0</v>
      </c>
      <c r="N157" s="296">
        <v>0</v>
      </c>
      <c r="O157" s="499">
        <f t="shared" si="51"/>
        <v>0</v>
      </c>
      <c r="P157" s="499">
        <f t="shared" si="49"/>
        <v>0</v>
      </c>
      <c r="Q157" s="499">
        <f t="shared" si="49"/>
        <v>0</v>
      </c>
      <c r="R157" s="499">
        <f t="shared" si="49"/>
        <v>0</v>
      </c>
      <c r="S157" s="499">
        <v>0</v>
      </c>
      <c r="T157" s="499">
        <v>0</v>
      </c>
      <c r="U157" s="499">
        <f t="shared" si="52"/>
        <v>0</v>
      </c>
      <c r="V157" s="499"/>
      <c r="W157" s="499"/>
      <c r="X157" s="499"/>
      <c r="Y157" s="499">
        <v>0</v>
      </c>
      <c r="Z157" s="499">
        <v>0</v>
      </c>
      <c r="AA157" s="499">
        <v>0</v>
      </c>
      <c r="AB157" s="499">
        <f t="shared" si="50"/>
        <v>0</v>
      </c>
      <c r="AC157" s="499">
        <f t="shared" si="50"/>
        <v>0</v>
      </c>
      <c r="AD157" s="499">
        <f t="shared" si="50"/>
        <v>0</v>
      </c>
      <c r="AE157" s="499">
        <v>0</v>
      </c>
      <c r="AF157" s="499">
        <v>0</v>
      </c>
      <c r="AG157" s="499">
        <v>0</v>
      </c>
      <c r="AH157" s="299"/>
      <c r="AI157" s="296"/>
      <c r="AJ157" s="298"/>
      <c r="AK157" s="298"/>
      <c r="AL157" s="298"/>
      <c r="AM157" s="298"/>
      <c r="AN157" s="298"/>
      <c r="AO157" s="298"/>
      <c r="AP157" s="298"/>
      <c r="AQ157" s="298"/>
      <c r="AR157" s="298"/>
      <c r="AS157" s="298"/>
      <c r="AT157" s="298"/>
      <c r="AU157" s="298"/>
      <c r="AV157" s="298"/>
      <c r="AW157" s="298"/>
      <c r="AX157" s="298"/>
      <c r="AY157" s="298"/>
      <c r="AZ157" s="298"/>
      <c r="BA157" s="298"/>
      <c r="BB157" s="298"/>
      <c r="BC157" s="499"/>
      <c r="BD157" s="499"/>
      <c r="BE157" s="499"/>
      <c r="BF157" s="298"/>
      <c r="BG157" s="298"/>
      <c r="BH157" s="298"/>
      <c r="BI157" s="712"/>
      <c r="BJ157" s="712"/>
      <c r="BK157" s="712"/>
      <c r="BL157" s="712"/>
      <c r="BM157" s="712"/>
      <c r="BN157" s="712"/>
      <c r="BO157" s="712"/>
      <c r="BP157" s="714"/>
      <c r="BQ157" s="712"/>
      <c r="BR157" s="714"/>
      <c r="BS157" s="714"/>
      <c r="BT157" s="714"/>
      <c r="BU157" s="714"/>
      <c r="BV157" s="714"/>
      <c r="BW157" s="712"/>
      <c r="BX157" s="714"/>
      <c r="BY157" s="714"/>
      <c r="BZ157" s="714"/>
      <c r="CA157" s="712"/>
      <c r="CB157" s="297">
        <v>0</v>
      </c>
      <c r="CC157" s="297">
        <v>0</v>
      </c>
      <c r="CD157" s="714"/>
    </row>
    <row r="158" spans="1:82" ht="22.5" x14ac:dyDescent="0.2">
      <c r="A158" s="703"/>
      <c r="B158" s="292" t="s">
        <v>1381</v>
      </c>
      <c r="C158" s="293" t="s">
        <v>755</v>
      </c>
      <c r="D158" s="314"/>
      <c r="E158" s="703"/>
      <c r="F158" s="294" t="s">
        <v>756</v>
      </c>
      <c r="G158" s="296"/>
      <c r="H158" s="296"/>
      <c r="I158" s="296"/>
      <c r="J158" s="499">
        <f t="shared" si="48"/>
        <v>25</v>
      </c>
      <c r="K158" s="499">
        <f t="shared" si="48"/>
        <v>0</v>
      </c>
      <c r="L158" s="499">
        <f t="shared" si="48"/>
        <v>25</v>
      </c>
      <c r="M158" s="499">
        <v>25</v>
      </c>
      <c r="N158" s="499">
        <v>0</v>
      </c>
      <c r="O158" s="499">
        <f t="shared" si="51"/>
        <v>25</v>
      </c>
      <c r="P158" s="499">
        <f t="shared" si="49"/>
        <v>0</v>
      </c>
      <c r="Q158" s="499">
        <f t="shared" si="49"/>
        <v>0</v>
      </c>
      <c r="R158" s="499">
        <f t="shared" si="49"/>
        <v>0</v>
      </c>
      <c r="S158" s="499">
        <v>25</v>
      </c>
      <c r="T158" s="499">
        <v>0</v>
      </c>
      <c r="U158" s="499">
        <f t="shared" si="52"/>
        <v>25</v>
      </c>
      <c r="V158" s="499"/>
      <c r="W158" s="499"/>
      <c r="X158" s="499"/>
      <c r="Y158" s="499">
        <v>25</v>
      </c>
      <c r="Z158" s="499">
        <v>0</v>
      </c>
      <c r="AA158" s="499">
        <v>25</v>
      </c>
      <c r="AB158" s="499">
        <f t="shared" ref="AB158:AD166" si="53">AE158-S158</f>
        <v>0</v>
      </c>
      <c r="AC158" s="499">
        <f t="shared" si="53"/>
        <v>0</v>
      </c>
      <c r="AD158" s="499">
        <f t="shared" si="53"/>
        <v>0</v>
      </c>
      <c r="AE158" s="499">
        <v>25</v>
      </c>
      <c r="AF158" s="499">
        <v>0</v>
      </c>
      <c r="AG158" s="499">
        <f t="shared" ref="AG158:AG162" si="54">SUM(AE158:AF158)</f>
        <v>25</v>
      </c>
      <c r="AH158" s="299"/>
      <c r="AI158" s="296"/>
      <c r="AJ158" s="298"/>
      <c r="AK158" s="298"/>
      <c r="AL158" s="298"/>
      <c r="AM158" s="298"/>
      <c r="AN158" s="298"/>
      <c r="AO158" s="298"/>
      <c r="AP158" s="298"/>
      <c r="AQ158" s="298"/>
      <c r="AR158" s="298"/>
      <c r="AS158" s="298"/>
      <c r="AT158" s="298"/>
      <c r="AU158" s="298"/>
      <c r="AV158" s="298"/>
      <c r="AW158" s="298"/>
      <c r="AX158" s="298"/>
      <c r="AY158" s="298"/>
      <c r="AZ158" s="298"/>
      <c r="BA158" s="298"/>
      <c r="BB158" s="298"/>
      <c r="BC158" s="499"/>
      <c r="BD158" s="499"/>
      <c r="BE158" s="499"/>
      <c r="BF158" s="298"/>
      <c r="BG158" s="298"/>
      <c r="BH158" s="298"/>
      <c r="BI158" s="712"/>
      <c r="BJ158" s="712"/>
      <c r="BK158" s="712"/>
      <c r="BL158" s="712"/>
      <c r="BM158" s="712"/>
      <c r="BN158" s="712"/>
      <c r="BO158" s="712"/>
      <c r="BP158" s="714"/>
      <c r="BQ158" s="712"/>
      <c r="BR158" s="714"/>
      <c r="BS158" s="714"/>
      <c r="BT158" s="714"/>
      <c r="BU158" s="714"/>
      <c r="BV158" s="714"/>
      <c r="BW158" s="712"/>
      <c r="BX158" s="714"/>
      <c r="BY158" s="714"/>
      <c r="BZ158" s="714"/>
      <c r="CA158" s="712"/>
      <c r="CB158" s="297">
        <v>25200</v>
      </c>
      <c r="CC158" s="297">
        <v>25</v>
      </c>
      <c r="CD158" s="714"/>
    </row>
    <row r="159" spans="1:82" ht="22.5" x14ac:dyDescent="0.2">
      <c r="A159" s="703"/>
      <c r="B159" s="292" t="s">
        <v>1381</v>
      </c>
      <c r="C159" s="293" t="s">
        <v>757</v>
      </c>
      <c r="D159" s="314"/>
      <c r="E159" s="703"/>
      <c r="F159" s="294" t="s">
        <v>758</v>
      </c>
      <c r="G159" s="296"/>
      <c r="H159" s="296"/>
      <c r="I159" s="296"/>
      <c r="J159" s="499">
        <f t="shared" si="48"/>
        <v>50</v>
      </c>
      <c r="K159" s="499">
        <f t="shared" si="48"/>
        <v>0</v>
      </c>
      <c r="L159" s="499">
        <f t="shared" si="48"/>
        <v>50</v>
      </c>
      <c r="M159" s="499">
        <v>50</v>
      </c>
      <c r="N159" s="499">
        <v>0</v>
      </c>
      <c r="O159" s="499">
        <f t="shared" si="51"/>
        <v>50</v>
      </c>
      <c r="P159" s="499">
        <f t="shared" si="49"/>
        <v>0</v>
      </c>
      <c r="Q159" s="499">
        <f t="shared" si="49"/>
        <v>0</v>
      </c>
      <c r="R159" s="499">
        <f t="shared" si="49"/>
        <v>0</v>
      </c>
      <c r="S159" s="499">
        <v>50</v>
      </c>
      <c r="T159" s="499">
        <v>0</v>
      </c>
      <c r="U159" s="499">
        <f t="shared" si="52"/>
        <v>50</v>
      </c>
      <c r="V159" s="499"/>
      <c r="W159" s="499"/>
      <c r="X159" s="499"/>
      <c r="Y159" s="499">
        <v>50</v>
      </c>
      <c r="Z159" s="499">
        <v>0</v>
      </c>
      <c r="AA159" s="499">
        <v>50</v>
      </c>
      <c r="AB159" s="499">
        <f t="shared" si="53"/>
        <v>-50</v>
      </c>
      <c r="AC159" s="499">
        <f t="shared" si="53"/>
        <v>0</v>
      </c>
      <c r="AD159" s="499">
        <f t="shared" si="53"/>
        <v>-50</v>
      </c>
      <c r="AE159" s="499">
        <v>0</v>
      </c>
      <c r="AF159" s="499">
        <v>0</v>
      </c>
      <c r="AG159" s="499">
        <f t="shared" si="54"/>
        <v>0</v>
      </c>
      <c r="AH159" s="299"/>
      <c r="AI159" s="296"/>
      <c r="AJ159" s="298"/>
      <c r="AK159" s="298"/>
      <c r="AL159" s="298"/>
      <c r="AM159" s="298"/>
      <c r="AN159" s="298"/>
      <c r="AO159" s="298"/>
      <c r="AP159" s="298"/>
      <c r="AQ159" s="298"/>
      <c r="AR159" s="298"/>
      <c r="AS159" s="298"/>
      <c r="AT159" s="298"/>
      <c r="AU159" s="298"/>
      <c r="AV159" s="298"/>
      <c r="AW159" s="298"/>
      <c r="AX159" s="298"/>
      <c r="AY159" s="298"/>
      <c r="AZ159" s="298"/>
      <c r="BA159" s="298"/>
      <c r="BB159" s="298"/>
      <c r="BC159" s="499"/>
      <c r="BD159" s="499"/>
      <c r="BE159" s="499"/>
      <c r="BF159" s="298"/>
      <c r="BG159" s="298"/>
      <c r="BH159" s="298"/>
      <c r="BI159" s="712"/>
      <c r="BJ159" s="712"/>
      <c r="BK159" s="712"/>
      <c r="BL159" s="712"/>
      <c r="BM159" s="712"/>
      <c r="BN159" s="712"/>
      <c r="BO159" s="712"/>
      <c r="BP159" s="714"/>
      <c r="BQ159" s="712"/>
      <c r="BR159" s="714"/>
      <c r="BS159" s="714"/>
      <c r="BT159" s="714"/>
      <c r="BU159" s="714"/>
      <c r="BV159" s="714"/>
      <c r="BW159" s="712"/>
      <c r="BX159" s="714"/>
      <c r="BY159" s="714"/>
      <c r="BZ159" s="714"/>
      <c r="CA159" s="712"/>
      <c r="CB159" s="297">
        <v>0</v>
      </c>
      <c r="CC159" s="297">
        <v>0</v>
      </c>
      <c r="CD159" s="714"/>
    </row>
    <row r="160" spans="1:82" ht="22.5" x14ac:dyDescent="0.2">
      <c r="A160" s="703"/>
      <c r="B160" s="292" t="s">
        <v>1381</v>
      </c>
      <c r="C160" s="293" t="s">
        <v>753</v>
      </c>
      <c r="D160" s="314"/>
      <c r="E160" s="703"/>
      <c r="F160" s="294" t="s">
        <v>759</v>
      </c>
      <c r="G160" s="296"/>
      <c r="H160" s="296"/>
      <c r="I160" s="296"/>
      <c r="J160" s="499">
        <f>M160-G160</f>
        <v>3900</v>
      </c>
      <c r="K160" s="499">
        <v>1052</v>
      </c>
      <c r="L160" s="499">
        <f>O160-I160</f>
        <v>4954</v>
      </c>
      <c r="M160" s="499">
        <v>3900</v>
      </c>
      <c r="N160" s="499">
        <v>1054</v>
      </c>
      <c r="O160" s="499">
        <f t="shared" si="51"/>
        <v>4954</v>
      </c>
      <c r="P160" s="499">
        <f>S160-M160</f>
        <v>0</v>
      </c>
      <c r="Q160" s="499">
        <v>1052</v>
      </c>
      <c r="R160" s="499">
        <f>U160-O160</f>
        <v>0</v>
      </c>
      <c r="S160" s="499">
        <v>3900</v>
      </c>
      <c r="T160" s="499">
        <v>1054</v>
      </c>
      <c r="U160" s="499">
        <f t="shared" si="52"/>
        <v>4954</v>
      </c>
      <c r="V160" s="499"/>
      <c r="W160" s="499"/>
      <c r="X160" s="499"/>
      <c r="Y160" s="499">
        <v>3900</v>
      </c>
      <c r="Z160" s="499">
        <v>1054</v>
      </c>
      <c r="AA160" s="499">
        <v>4954</v>
      </c>
      <c r="AB160" s="499">
        <f t="shared" si="53"/>
        <v>0</v>
      </c>
      <c r="AC160" s="499">
        <f t="shared" si="53"/>
        <v>0</v>
      </c>
      <c r="AD160" s="499">
        <f t="shared" si="53"/>
        <v>0</v>
      </c>
      <c r="AE160" s="499">
        <v>3900</v>
      </c>
      <c r="AF160" s="499">
        <v>1054</v>
      </c>
      <c r="AG160" s="499">
        <f t="shared" si="54"/>
        <v>4954</v>
      </c>
      <c r="AH160" s="299"/>
      <c r="AI160" s="296"/>
      <c r="AJ160" s="298"/>
      <c r="AK160" s="298"/>
      <c r="AL160" s="298"/>
      <c r="AM160" s="298"/>
      <c r="AN160" s="298"/>
      <c r="AO160" s="298"/>
      <c r="AP160" s="298"/>
      <c r="AQ160" s="298"/>
      <c r="AR160" s="298"/>
      <c r="AS160" s="298"/>
      <c r="AT160" s="298"/>
      <c r="AU160" s="298"/>
      <c r="AV160" s="298"/>
      <c r="AW160" s="298"/>
      <c r="AX160" s="298"/>
      <c r="AY160" s="298"/>
      <c r="AZ160" s="298"/>
      <c r="BA160" s="298"/>
      <c r="BB160" s="298"/>
      <c r="BC160" s="499"/>
      <c r="BD160" s="499"/>
      <c r="BE160" s="499"/>
      <c r="BF160" s="298"/>
      <c r="BG160" s="298"/>
      <c r="BH160" s="298"/>
      <c r="BI160" s="712"/>
      <c r="BJ160" s="712"/>
      <c r="BK160" s="712"/>
      <c r="BL160" s="712"/>
      <c r="BM160" s="712"/>
      <c r="BN160" s="712"/>
      <c r="BO160" s="712"/>
      <c r="BP160" s="714"/>
      <c r="BQ160" s="712"/>
      <c r="BR160" s="714"/>
      <c r="BS160" s="714"/>
      <c r="BT160" s="714"/>
      <c r="BU160" s="714"/>
      <c r="BV160" s="714"/>
      <c r="BW160" s="712"/>
      <c r="BX160" s="714"/>
      <c r="BY160" s="714"/>
      <c r="BZ160" s="714"/>
      <c r="CA160" s="712"/>
      <c r="CB160" s="297">
        <v>3900000</v>
      </c>
      <c r="CC160" s="297">
        <v>4953</v>
      </c>
      <c r="CD160" s="714"/>
    </row>
    <row r="161" spans="1:82" ht="22.5" x14ac:dyDescent="0.2">
      <c r="A161" s="703"/>
      <c r="B161" s="292" t="s">
        <v>1381</v>
      </c>
      <c r="C161" s="293" t="s">
        <v>760</v>
      </c>
      <c r="D161" s="314"/>
      <c r="E161" s="703"/>
      <c r="F161" s="294" t="s">
        <v>761</v>
      </c>
      <c r="G161" s="296"/>
      <c r="H161" s="296"/>
      <c r="I161" s="296"/>
      <c r="J161" s="499">
        <f>M161-G161</f>
        <v>920</v>
      </c>
      <c r="K161" s="499">
        <f>N161-H161</f>
        <v>248</v>
      </c>
      <c r="L161" s="499">
        <f>O161-I161</f>
        <v>1168</v>
      </c>
      <c r="M161" s="499">
        <v>920</v>
      </c>
      <c r="N161" s="499">
        <v>248</v>
      </c>
      <c r="O161" s="499">
        <f t="shared" si="51"/>
        <v>1168</v>
      </c>
      <c r="P161" s="499">
        <f>S161-M161</f>
        <v>0</v>
      </c>
      <c r="Q161" s="499">
        <f>T161-N161</f>
        <v>0</v>
      </c>
      <c r="R161" s="499">
        <f>U161-O161</f>
        <v>0</v>
      </c>
      <c r="S161" s="499">
        <v>920</v>
      </c>
      <c r="T161" s="499">
        <v>248</v>
      </c>
      <c r="U161" s="499">
        <f t="shared" si="52"/>
        <v>1168</v>
      </c>
      <c r="V161" s="499"/>
      <c r="W161" s="499"/>
      <c r="X161" s="499"/>
      <c r="Y161" s="499">
        <v>920</v>
      </c>
      <c r="Z161" s="499">
        <v>248</v>
      </c>
      <c r="AA161" s="499">
        <v>1168</v>
      </c>
      <c r="AB161" s="499">
        <f t="shared" si="53"/>
        <v>0</v>
      </c>
      <c r="AC161" s="499">
        <f t="shared" si="53"/>
        <v>0</v>
      </c>
      <c r="AD161" s="499">
        <f t="shared" si="53"/>
        <v>0</v>
      </c>
      <c r="AE161" s="499">
        <v>920</v>
      </c>
      <c r="AF161" s="499">
        <v>248</v>
      </c>
      <c r="AG161" s="499">
        <f t="shared" si="54"/>
        <v>1168</v>
      </c>
      <c r="AH161" s="299"/>
      <c r="AI161" s="296"/>
      <c r="AJ161" s="298"/>
      <c r="AK161" s="298"/>
      <c r="AL161" s="298"/>
      <c r="AM161" s="298"/>
      <c r="AN161" s="298"/>
      <c r="AO161" s="298"/>
      <c r="AP161" s="298"/>
      <c r="AQ161" s="298"/>
      <c r="AR161" s="298"/>
      <c r="AS161" s="298"/>
      <c r="AT161" s="298"/>
      <c r="AU161" s="298"/>
      <c r="AV161" s="298"/>
      <c r="AW161" s="298"/>
      <c r="AX161" s="298"/>
      <c r="AY161" s="298"/>
      <c r="AZ161" s="298"/>
      <c r="BA161" s="298"/>
      <c r="BB161" s="298"/>
      <c r="BC161" s="499"/>
      <c r="BD161" s="499"/>
      <c r="BE161" s="499"/>
      <c r="BF161" s="298"/>
      <c r="BG161" s="298"/>
      <c r="BH161" s="298"/>
      <c r="BI161" s="712"/>
      <c r="BJ161" s="712"/>
      <c r="BK161" s="712"/>
      <c r="BL161" s="712"/>
      <c r="BM161" s="712"/>
      <c r="BN161" s="712"/>
      <c r="BO161" s="712"/>
      <c r="BP161" s="714"/>
      <c r="BQ161" s="712"/>
      <c r="BR161" s="714"/>
      <c r="BS161" s="714"/>
      <c r="BT161" s="714"/>
      <c r="BU161" s="714"/>
      <c r="BV161" s="714"/>
      <c r="BW161" s="712"/>
      <c r="BX161" s="714"/>
      <c r="BY161" s="714"/>
      <c r="BZ161" s="714"/>
      <c r="CA161" s="712"/>
      <c r="CB161" s="297">
        <v>920000</v>
      </c>
      <c r="CC161" s="297">
        <v>1169</v>
      </c>
      <c r="CD161" s="714"/>
    </row>
    <row r="162" spans="1:82" x14ac:dyDescent="0.2">
      <c r="A162" s="703"/>
      <c r="B162" s="292" t="s">
        <v>1381</v>
      </c>
      <c r="C162" s="329" t="s">
        <v>762</v>
      </c>
      <c r="D162" s="314" t="s">
        <v>729</v>
      </c>
      <c r="E162" s="703"/>
      <c r="F162" s="294" t="s">
        <v>763</v>
      </c>
      <c r="G162" s="296"/>
      <c r="H162" s="296"/>
      <c r="I162" s="296"/>
      <c r="J162" s="296">
        <f>M162-G162</f>
        <v>100000</v>
      </c>
      <c r="K162" s="296">
        <f>N162-H162</f>
        <v>27000</v>
      </c>
      <c r="L162" s="296">
        <f>O162-I162</f>
        <v>127000</v>
      </c>
      <c r="M162" s="296">
        <v>100000</v>
      </c>
      <c r="N162" s="296">
        <v>27000</v>
      </c>
      <c r="O162" s="296">
        <f t="shared" si="51"/>
        <v>127000</v>
      </c>
      <c r="P162" s="296">
        <f>S162-M162</f>
        <v>0</v>
      </c>
      <c r="Q162" s="296">
        <f>T162-N162</f>
        <v>0</v>
      </c>
      <c r="R162" s="296">
        <f>U162-O162</f>
        <v>0</v>
      </c>
      <c r="S162" s="296">
        <v>100000</v>
      </c>
      <c r="T162" s="296">
        <v>27000</v>
      </c>
      <c r="U162" s="296">
        <f t="shared" si="52"/>
        <v>127000</v>
      </c>
      <c r="V162" s="296"/>
      <c r="W162" s="296"/>
      <c r="X162" s="296"/>
      <c r="Y162" s="296">
        <v>100000</v>
      </c>
      <c r="Z162" s="296">
        <v>27000</v>
      </c>
      <c r="AA162" s="296">
        <v>127000</v>
      </c>
      <c r="AB162" s="296">
        <f t="shared" si="53"/>
        <v>-80000</v>
      </c>
      <c r="AC162" s="296">
        <f t="shared" si="53"/>
        <v>-27000</v>
      </c>
      <c r="AD162" s="296">
        <f t="shared" si="53"/>
        <v>-107000</v>
      </c>
      <c r="AE162" s="296">
        <v>20000</v>
      </c>
      <c r="AF162" s="296">
        <v>0</v>
      </c>
      <c r="AG162" s="499">
        <f t="shared" si="54"/>
        <v>20000</v>
      </c>
      <c r="AH162" s="299"/>
      <c r="AI162" s="296"/>
      <c r="AJ162" s="296"/>
      <c r="AK162" s="296"/>
      <c r="AL162" s="296"/>
      <c r="AM162" s="296"/>
      <c r="AN162" s="296"/>
      <c r="AO162" s="296"/>
      <c r="AP162" s="296"/>
      <c r="AQ162" s="296"/>
      <c r="AR162" s="296"/>
      <c r="AS162" s="296"/>
      <c r="AT162" s="296"/>
      <c r="AU162" s="296"/>
      <c r="AV162" s="296"/>
      <c r="AW162" s="296"/>
      <c r="AX162" s="296"/>
      <c r="AY162" s="296"/>
      <c r="AZ162" s="296"/>
      <c r="BA162" s="296"/>
      <c r="BB162" s="296"/>
      <c r="BC162" s="499"/>
      <c r="BD162" s="499"/>
      <c r="BE162" s="499"/>
      <c r="BF162" s="296"/>
      <c r="BG162" s="296"/>
      <c r="BH162" s="296"/>
      <c r="BI162" s="712"/>
      <c r="BJ162" s="712"/>
      <c r="BK162" s="712"/>
      <c r="BL162" s="712"/>
      <c r="BM162" s="712"/>
      <c r="BN162" s="712"/>
      <c r="BO162" s="712"/>
      <c r="BP162" s="714"/>
      <c r="BQ162" s="712"/>
      <c r="BR162" s="714"/>
      <c r="BS162" s="714"/>
      <c r="BT162" s="714"/>
      <c r="BU162" s="714"/>
      <c r="BV162" s="714"/>
      <c r="BW162" s="712"/>
      <c r="BX162" s="714"/>
      <c r="BY162" s="714"/>
      <c r="BZ162" s="714"/>
      <c r="CA162" s="712"/>
      <c r="CB162" s="297">
        <v>20000000</v>
      </c>
      <c r="CC162" s="297">
        <v>20000</v>
      </c>
      <c r="CD162" s="714"/>
    </row>
    <row r="163" spans="1:82" ht="22.5" x14ac:dyDescent="0.2">
      <c r="A163" s="703"/>
      <c r="B163" s="292" t="s">
        <v>1381</v>
      </c>
      <c r="C163" s="293" t="s">
        <v>764</v>
      </c>
      <c r="D163" s="314"/>
      <c r="E163" s="703"/>
      <c r="F163" s="294" t="s">
        <v>765</v>
      </c>
      <c r="G163" s="296"/>
      <c r="H163" s="296"/>
      <c r="I163" s="296"/>
      <c r="J163" s="499">
        <f>M163-G163</f>
        <v>2400</v>
      </c>
      <c r="K163" s="499">
        <f>N163-H163</f>
        <v>648</v>
      </c>
      <c r="L163" s="499">
        <f>O163-I163</f>
        <v>3048</v>
      </c>
      <c r="M163" s="499">
        <v>2400</v>
      </c>
      <c r="N163" s="499">
        <v>648</v>
      </c>
      <c r="O163" s="499">
        <f t="shared" si="51"/>
        <v>3048</v>
      </c>
      <c r="P163" s="499">
        <f>S163-M163</f>
        <v>0</v>
      </c>
      <c r="Q163" s="499">
        <f>T163-N163</f>
        <v>0</v>
      </c>
      <c r="R163" s="499">
        <f>U163-O163</f>
        <v>0</v>
      </c>
      <c r="S163" s="499">
        <v>2400</v>
      </c>
      <c r="T163" s="499">
        <v>648</v>
      </c>
      <c r="U163" s="499">
        <f t="shared" si="52"/>
        <v>3048</v>
      </c>
      <c r="V163" s="499"/>
      <c r="W163" s="499"/>
      <c r="X163" s="499"/>
      <c r="Y163" s="499">
        <v>2400</v>
      </c>
      <c r="Z163" s="499">
        <v>648</v>
      </c>
      <c r="AA163" s="499">
        <v>3048</v>
      </c>
      <c r="AB163" s="499">
        <f t="shared" si="53"/>
        <v>-2400</v>
      </c>
      <c r="AC163" s="499">
        <f t="shared" si="53"/>
        <v>-648</v>
      </c>
      <c r="AD163" s="499">
        <f t="shared" si="53"/>
        <v>-3048</v>
      </c>
      <c r="AE163" s="499">
        <v>0</v>
      </c>
      <c r="AF163" s="499">
        <v>0</v>
      </c>
      <c r="AG163" s="499">
        <f>SUM(AE163:AF163)</f>
        <v>0</v>
      </c>
      <c r="AH163" s="299"/>
      <c r="AI163" s="296"/>
      <c r="AJ163" s="298"/>
      <c r="AK163" s="298"/>
      <c r="AL163" s="298"/>
      <c r="AM163" s="298"/>
      <c r="AN163" s="298"/>
      <c r="AO163" s="298"/>
      <c r="AP163" s="298"/>
      <c r="AQ163" s="298"/>
      <c r="AR163" s="298"/>
      <c r="AS163" s="298"/>
      <c r="AT163" s="298"/>
      <c r="AU163" s="298"/>
      <c r="AV163" s="298"/>
      <c r="AW163" s="298"/>
      <c r="AX163" s="298"/>
      <c r="AY163" s="298"/>
      <c r="AZ163" s="298"/>
      <c r="BA163" s="298"/>
      <c r="BB163" s="298"/>
      <c r="BC163" s="499"/>
      <c r="BD163" s="499"/>
      <c r="BE163" s="499"/>
      <c r="BF163" s="298"/>
      <c r="BG163" s="298"/>
      <c r="BH163" s="298"/>
      <c r="BI163" s="712"/>
      <c r="BJ163" s="712"/>
      <c r="BK163" s="712"/>
      <c r="BL163" s="712"/>
      <c r="BM163" s="712"/>
      <c r="BN163" s="712"/>
      <c r="BO163" s="712"/>
      <c r="BP163" s="717"/>
      <c r="BQ163" s="712"/>
      <c r="BR163" s="714"/>
      <c r="BS163" s="714"/>
      <c r="BT163" s="714"/>
      <c r="BU163" s="714"/>
      <c r="BV163" s="714"/>
      <c r="BW163" s="712"/>
      <c r="BX163" s="714"/>
      <c r="BY163" s="717"/>
      <c r="BZ163" s="714"/>
      <c r="CA163" s="712"/>
      <c r="CB163" s="297"/>
      <c r="CC163" s="297">
        <v>0</v>
      </c>
      <c r="CD163" s="714"/>
    </row>
    <row r="164" spans="1:82" ht="22.5" x14ac:dyDescent="0.2">
      <c r="A164" s="703"/>
      <c r="B164" s="292" t="s">
        <v>1381</v>
      </c>
      <c r="C164" s="293" t="s">
        <v>1460</v>
      </c>
      <c r="D164" s="314"/>
      <c r="E164" s="703"/>
      <c r="F164" s="294" t="s">
        <v>1461</v>
      </c>
      <c r="G164" s="296"/>
      <c r="H164" s="296"/>
      <c r="I164" s="296"/>
      <c r="J164" s="499"/>
      <c r="K164" s="499"/>
      <c r="L164" s="499"/>
      <c r="M164" s="499"/>
      <c r="N164" s="499"/>
      <c r="O164" s="499"/>
      <c r="P164" s="499"/>
      <c r="Q164" s="499"/>
      <c r="R164" s="499"/>
      <c r="S164" s="499"/>
      <c r="T164" s="499"/>
      <c r="U164" s="499"/>
      <c r="V164" s="499"/>
      <c r="W164" s="499"/>
      <c r="X164" s="499"/>
      <c r="Y164" s="499"/>
      <c r="Z164" s="499"/>
      <c r="AA164" s="499"/>
      <c r="AB164" s="499">
        <f t="shared" si="53"/>
        <v>94</v>
      </c>
      <c r="AC164" s="499">
        <f t="shared" si="53"/>
        <v>25</v>
      </c>
      <c r="AD164" s="499">
        <f t="shared" si="53"/>
        <v>119</v>
      </c>
      <c r="AE164" s="499">
        <v>94</v>
      </c>
      <c r="AF164" s="499">
        <v>25</v>
      </c>
      <c r="AG164" s="499">
        <f>SUM(AE164:AF164)</f>
        <v>119</v>
      </c>
      <c r="AH164" s="299"/>
      <c r="AI164" s="296"/>
      <c r="AJ164" s="298"/>
      <c r="AK164" s="298"/>
      <c r="AL164" s="298"/>
      <c r="AM164" s="298"/>
      <c r="AN164" s="298"/>
      <c r="AO164" s="298"/>
      <c r="AP164" s="298"/>
      <c r="AQ164" s="298"/>
      <c r="AR164" s="298"/>
      <c r="AS164" s="298"/>
      <c r="AT164" s="298"/>
      <c r="AU164" s="298"/>
      <c r="AV164" s="298"/>
      <c r="AW164" s="298"/>
      <c r="AX164" s="298"/>
      <c r="AY164" s="298"/>
      <c r="AZ164" s="298"/>
      <c r="BA164" s="298"/>
      <c r="BB164" s="298"/>
      <c r="BC164" s="499"/>
      <c r="BD164" s="499"/>
      <c r="BE164" s="499"/>
      <c r="BF164" s="298"/>
      <c r="BG164" s="298"/>
      <c r="BH164" s="298"/>
      <c r="BI164" s="712"/>
      <c r="BJ164" s="521"/>
      <c r="BK164" s="712"/>
      <c r="BL164" s="521"/>
      <c r="BM164" s="712"/>
      <c r="BN164" s="712"/>
      <c r="BO164" s="712"/>
      <c r="BP164" s="519"/>
      <c r="BQ164" s="712"/>
      <c r="BR164" s="714"/>
      <c r="BS164" s="518"/>
      <c r="BT164" s="714"/>
      <c r="BU164" s="714"/>
      <c r="BV164" s="714"/>
      <c r="BW164" s="712"/>
      <c r="BX164" s="714"/>
      <c r="BY164" s="519"/>
      <c r="BZ164" s="714"/>
      <c r="CA164" s="712"/>
      <c r="CB164" s="297">
        <v>93764</v>
      </c>
      <c r="CC164" s="297">
        <v>119</v>
      </c>
      <c r="CD164" s="714"/>
    </row>
    <row r="165" spans="1:82" ht="22.5" x14ac:dyDescent="0.2">
      <c r="A165" s="703"/>
      <c r="B165" s="292" t="s">
        <v>1381</v>
      </c>
      <c r="C165" s="293" t="s">
        <v>1462</v>
      </c>
      <c r="D165" s="314"/>
      <c r="E165" s="703"/>
      <c r="F165" s="294" t="s">
        <v>1463</v>
      </c>
      <c r="G165" s="296"/>
      <c r="H165" s="296"/>
      <c r="I165" s="296"/>
      <c r="J165" s="499"/>
      <c r="K165" s="499"/>
      <c r="L165" s="499"/>
      <c r="M165" s="499"/>
      <c r="N165" s="499"/>
      <c r="O165" s="499"/>
      <c r="P165" s="499"/>
      <c r="Q165" s="499"/>
      <c r="R165" s="499"/>
      <c r="S165" s="499"/>
      <c r="T165" s="499"/>
      <c r="U165" s="499"/>
      <c r="V165" s="499"/>
      <c r="W165" s="499"/>
      <c r="X165" s="499"/>
      <c r="Y165" s="499"/>
      <c r="Z165" s="499"/>
      <c r="AA165" s="499"/>
      <c r="AB165" s="499">
        <f t="shared" si="53"/>
        <v>3635</v>
      </c>
      <c r="AC165" s="499">
        <f t="shared" si="53"/>
        <v>981</v>
      </c>
      <c r="AD165" s="499">
        <f t="shared" si="53"/>
        <v>4616</v>
      </c>
      <c r="AE165" s="499">
        <v>3635</v>
      </c>
      <c r="AF165" s="499">
        <v>981</v>
      </c>
      <c r="AG165" s="499">
        <f>SUM(AE165:AF165)</f>
        <v>4616</v>
      </c>
      <c r="AH165" s="299"/>
      <c r="AI165" s="296"/>
      <c r="AJ165" s="298"/>
      <c r="AK165" s="298"/>
      <c r="AL165" s="298"/>
      <c r="AM165" s="298"/>
      <c r="AN165" s="298"/>
      <c r="AO165" s="298"/>
      <c r="AP165" s="298"/>
      <c r="AQ165" s="298"/>
      <c r="AR165" s="298"/>
      <c r="AS165" s="298"/>
      <c r="AT165" s="298"/>
      <c r="AU165" s="298"/>
      <c r="AV165" s="298"/>
      <c r="AW165" s="298"/>
      <c r="AX165" s="298"/>
      <c r="AY165" s="298"/>
      <c r="AZ165" s="298"/>
      <c r="BA165" s="298"/>
      <c r="BB165" s="298"/>
      <c r="BC165" s="499"/>
      <c r="BD165" s="499"/>
      <c r="BE165" s="499"/>
      <c r="BF165" s="298"/>
      <c r="BG165" s="298"/>
      <c r="BH165" s="298"/>
      <c r="BI165" s="712"/>
      <c r="BJ165" s="521"/>
      <c r="BK165" s="712"/>
      <c r="BL165" s="521"/>
      <c r="BM165" s="712"/>
      <c r="BN165" s="712"/>
      <c r="BO165" s="712"/>
      <c r="BP165" s="519"/>
      <c r="BQ165" s="712"/>
      <c r="BR165" s="714"/>
      <c r="BS165" s="518"/>
      <c r="BT165" s="714"/>
      <c r="BU165" s="714"/>
      <c r="BV165" s="714"/>
      <c r="BW165" s="712"/>
      <c r="BX165" s="714"/>
      <c r="BY165" s="519"/>
      <c r="BZ165" s="714"/>
      <c r="CA165" s="712"/>
      <c r="CB165" s="297">
        <v>3634800</v>
      </c>
      <c r="CC165" s="297">
        <v>4616</v>
      </c>
      <c r="CD165" s="714"/>
    </row>
    <row r="166" spans="1:82" x14ac:dyDescent="0.2">
      <c r="A166" s="703"/>
      <c r="B166" s="292" t="s">
        <v>1381</v>
      </c>
      <c r="C166" s="293" t="s">
        <v>1464</v>
      </c>
      <c r="D166" s="330"/>
      <c r="E166" s="703"/>
      <c r="F166" s="294" t="s">
        <v>1465</v>
      </c>
      <c r="G166" s="296"/>
      <c r="H166" s="296"/>
      <c r="I166" s="296"/>
      <c r="J166" s="499"/>
      <c r="K166" s="499"/>
      <c r="L166" s="499"/>
      <c r="M166" s="499"/>
      <c r="N166" s="499"/>
      <c r="O166" s="499"/>
      <c r="P166" s="499"/>
      <c r="Q166" s="499"/>
      <c r="R166" s="499"/>
      <c r="S166" s="499"/>
      <c r="T166" s="499"/>
      <c r="U166" s="499"/>
      <c r="V166" s="499"/>
      <c r="W166" s="499"/>
      <c r="X166" s="499"/>
      <c r="Y166" s="499"/>
      <c r="Z166" s="499"/>
      <c r="AA166" s="499"/>
      <c r="AB166" s="499">
        <f t="shared" si="53"/>
        <v>0</v>
      </c>
      <c r="AC166" s="499">
        <f t="shared" si="53"/>
        <v>0</v>
      </c>
      <c r="AD166" s="499">
        <f t="shared" si="53"/>
        <v>0</v>
      </c>
      <c r="AE166" s="499">
        <v>0</v>
      </c>
      <c r="AF166" s="499">
        <v>0</v>
      </c>
      <c r="AG166" s="499">
        <f>SUM(AE166:AF166)</f>
        <v>0</v>
      </c>
      <c r="AH166" s="299"/>
      <c r="AI166" s="296"/>
      <c r="AJ166" s="298"/>
      <c r="AK166" s="298"/>
      <c r="AL166" s="298"/>
      <c r="AM166" s="298"/>
      <c r="AN166" s="298"/>
      <c r="AO166" s="298"/>
      <c r="AP166" s="298"/>
      <c r="AQ166" s="298"/>
      <c r="AR166" s="298"/>
      <c r="AS166" s="298"/>
      <c r="AT166" s="298"/>
      <c r="AU166" s="298"/>
      <c r="AV166" s="298"/>
      <c r="AW166" s="298"/>
      <c r="AX166" s="298"/>
      <c r="AY166" s="298"/>
      <c r="AZ166" s="298"/>
      <c r="BA166" s="298"/>
      <c r="BB166" s="298"/>
      <c r="BC166" s="499"/>
      <c r="BD166" s="499"/>
      <c r="BE166" s="499"/>
      <c r="BF166" s="298"/>
      <c r="BG166" s="298"/>
      <c r="BH166" s="298"/>
      <c r="BI166" s="712"/>
      <c r="BJ166" s="521"/>
      <c r="BK166" s="712"/>
      <c r="BL166" s="521"/>
      <c r="BM166" s="712"/>
      <c r="BN166" s="712"/>
      <c r="BO166" s="712"/>
      <c r="BP166" s="519"/>
      <c r="BQ166" s="712"/>
      <c r="BR166" s="714"/>
      <c r="BS166" s="518"/>
      <c r="BT166" s="714"/>
      <c r="BU166" s="714"/>
      <c r="BV166" s="714"/>
      <c r="BW166" s="712"/>
      <c r="BX166" s="714"/>
      <c r="BY166" s="519"/>
      <c r="BZ166" s="714"/>
      <c r="CA166" s="712"/>
      <c r="CB166" s="297"/>
      <c r="CC166" s="297">
        <v>0</v>
      </c>
      <c r="CD166" s="714"/>
    </row>
    <row r="167" spans="1:82" ht="22.5" x14ac:dyDescent="0.2">
      <c r="A167" s="703"/>
      <c r="B167" s="292" t="s">
        <v>1381</v>
      </c>
      <c r="C167" s="293" t="s">
        <v>1466</v>
      </c>
      <c r="D167" s="330"/>
      <c r="E167" s="703"/>
      <c r="F167" s="331" t="s">
        <v>1467</v>
      </c>
      <c r="G167" s="296"/>
      <c r="H167" s="296"/>
      <c r="I167" s="296"/>
      <c r="J167" s="499"/>
      <c r="K167" s="499"/>
      <c r="L167" s="499"/>
      <c r="M167" s="499"/>
      <c r="N167" s="499"/>
      <c r="O167" s="499"/>
      <c r="P167" s="499"/>
      <c r="Q167" s="499"/>
      <c r="R167" s="499"/>
      <c r="S167" s="499"/>
      <c r="T167" s="499"/>
      <c r="U167" s="499"/>
      <c r="V167" s="499"/>
      <c r="W167" s="499"/>
      <c r="X167" s="499"/>
      <c r="Y167" s="499"/>
      <c r="Z167" s="499"/>
      <c r="AA167" s="499"/>
      <c r="AB167" s="499"/>
      <c r="AC167" s="499"/>
      <c r="AD167" s="499"/>
      <c r="AE167" s="499">
        <v>80</v>
      </c>
      <c r="AF167" s="499">
        <v>0</v>
      </c>
      <c r="AG167" s="499">
        <f>SUM(AE167:AF167)</f>
        <v>80</v>
      </c>
      <c r="AH167" s="299"/>
      <c r="AI167" s="296"/>
      <c r="AJ167" s="298"/>
      <c r="AK167" s="298"/>
      <c r="AL167" s="298"/>
      <c r="AM167" s="298"/>
      <c r="AN167" s="298"/>
      <c r="AO167" s="298"/>
      <c r="AP167" s="298"/>
      <c r="AQ167" s="298"/>
      <c r="AR167" s="298"/>
      <c r="AS167" s="298"/>
      <c r="AT167" s="298"/>
      <c r="AU167" s="298"/>
      <c r="AV167" s="298"/>
      <c r="AW167" s="298"/>
      <c r="AX167" s="298"/>
      <c r="AY167" s="298"/>
      <c r="AZ167" s="298"/>
      <c r="BA167" s="298"/>
      <c r="BB167" s="298"/>
      <c r="BC167" s="499"/>
      <c r="BD167" s="499"/>
      <c r="BE167" s="499"/>
      <c r="BF167" s="298"/>
      <c r="BG167" s="298"/>
      <c r="BH167" s="298"/>
      <c r="BI167" s="712"/>
      <c r="BJ167" s="521"/>
      <c r="BK167" s="712"/>
      <c r="BL167" s="521"/>
      <c r="BM167" s="712"/>
      <c r="BN167" s="712"/>
      <c r="BO167" s="712"/>
      <c r="BP167" s="519"/>
      <c r="BQ167" s="713"/>
      <c r="BR167" s="714"/>
      <c r="BS167" s="518"/>
      <c r="BT167" s="714"/>
      <c r="BU167" s="714"/>
      <c r="BV167" s="714"/>
      <c r="BW167" s="712"/>
      <c r="BX167" s="714"/>
      <c r="BY167" s="519"/>
      <c r="BZ167" s="717"/>
      <c r="CA167" s="712"/>
      <c r="CB167" s="297">
        <v>80000</v>
      </c>
      <c r="CC167" s="297">
        <v>80</v>
      </c>
      <c r="CD167" s="717"/>
    </row>
    <row r="168" spans="1:82" x14ac:dyDescent="0.2">
      <c r="A168" s="702" t="s">
        <v>416</v>
      </c>
      <c r="B168" s="292" t="s">
        <v>1381</v>
      </c>
      <c r="C168" s="293" t="s">
        <v>1143</v>
      </c>
      <c r="D168" s="314"/>
      <c r="E168" s="512" t="s">
        <v>766</v>
      </c>
      <c r="F168" s="294" t="s">
        <v>417</v>
      </c>
      <c r="G168" s="516"/>
      <c r="H168" s="516"/>
      <c r="I168" s="516"/>
      <c r="J168" s="516"/>
      <c r="K168" s="516"/>
      <c r="L168" s="516"/>
      <c r="M168" s="296"/>
      <c r="N168" s="296"/>
      <c r="O168" s="296"/>
      <c r="P168" s="296"/>
      <c r="Q168" s="296"/>
      <c r="R168" s="296"/>
      <c r="S168" s="296"/>
      <c r="T168" s="296"/>
      <c r="U168" s="296"/>
      <c r="V168" s="296"/>
      <c r="W168" s="296"/>
      <c r="X168" s="296"/>
      <c r="Y168" s="296"/>
      <c r="Z168" s="296"/>
      <c r="AA168" s="296"/>
      <c r="AB168" s="296"/>
      <c r="AC168" s="296"/>
      <c r="AD168" s="296"/>
      <c r="AE168" s="296"/>
      <c r="AF168" s="296"/>
      <c r="AG168" s="296"/>
      <c r="AH168" s="299">
        <v>55118</v>
      </c>
      <c r="AI168" s="296">
        <v>14882</v>
      </c>
      <c r="AJ168" s="299">
        <f>SUM(AH168:AI168)</f>
        <v>70000</v>
      </c>
      <c r="AK168" s="296">
        <f t="shared" ref="AK168:AM182" si="55">AN168-AH168</f>
        <v>-55118</v>
      </c>
      <c r="AL168" s="296">
        <f t="shared" si="55"/>
        <v>-14882</v>
      </c>
      <c r="AM168" s="296">
        <f t="shared" si="55"/>
        <v>-70000</v>
      </c>
      <c r="AN168" s="299">
        <v>0</v>
      </c>
      <c r="AO168" s="296">
        <v>0</v>
      </c>
      <c r="AP168" s="299">
        <f t="shared" ref="AP168:AP182" si="56">SUM(AN168:AO168)</f>
        <v>0</v>
      </c>
      <c r="AQ168" s="296">
        <f t="shared" ref="AQ168:AS228" si="57">AT168-AN168</f>
        <v>0</v>
      </c>
      <c r="AR168" s="296">
        <f t="shared" si="57"/>
        <v>0</v>
      </c>
      <c r="AS168" s="296">
        <f t="shared" si="57"/>
        <v>0</v>
      </c>
      <c r="AT168" s="296">
        <v>0</v>
      </c>
      <c r="AU168" s="296">
        <v>0</v>
      </c>
      <c r="AV168" s="296">
        <f t="shared" ref="AV168:AV202" si="58">SUM(AT168:AU168)</f>
        <v>0</v>
      </c>
      <c r="AW168" s="296"/>
      <c r="AX168" s="296"/>
      <c r="AY168" s="296"/>
      <c r="AZ168" s="296">
        <v>0</v>
      </c>
      <c r="BA168" s="296">
        <v>0</v>
      </c>
      <c r="BB168" s="296">
        <v>0</v>
      </c>
      <c r="BC168" s="499">
        <f t="shared" ref="BC168:BE199" si="59">BF168-AT168</f>
        <v>0</v>
      </c>
      <c r="BD168" s="499">
        <f t="shared" si="59"/>
        <v>0</v>
      </c>
      <c r="BE168" s="499">
        <f t="shared" si="59"/>
        <v>0</v>
      </c>
      <c r="BF168" s="296">
        <v>0</v>
      </c>
      <c r="BG168" s="296">
        <v>0</v>
      </c>
      <c r="BH168" s="296">
        <v>0</v>
      </c>
      <c r="BI168" s="722">
        <f>SUM(I168:I297)</f>
        <v>0</v>
      </c>
      <c r="BJ168" s="722">
        <f>SUM(L168:L297)</f>
        <v>0</v>
      </c>
      <c r="BK168" s="722">
        <f>SUM(O168:O297)</f>
        <v>0</v>
      </c>
      <c r="BL168" s="722">
        <f>SUM(R168:R297)</f>
        <v>0</v>
      </c>
      <c r="BM168" s="722">
        <f>SUM(U168:U297)</f>
        <v>0</v>
      </c>
      <c r="BN168" s="722">
        <f>SUM(AD168:AD297)</f>
        <v>0</v>
      </c>
      <c r="BO168" s="722">
        <f>SUM(AA168:AA297)</f>
        <v>0</v>
      </c>
      <c r="BP168" s="725"/>
      <c r="BQ168" s="722">
        <f>SUM(AG168:AG297)</f>
        <v>0</v>
      </c>
      <c r="BR168" s="722">
        <f>SUM(AJ168:AJ297)</f>
        <v>597425</v>
      </c>
      <c r="BS168" s="722">
        <f>SUM(AM168:AM297)</f>
        <v>243988</v>
      </c>
      <c r="BT168" s="722">
        <f>SUM(AP168:AP297)</f>
        <v>841413</v>
      </c>
      <c r="BU168" s="722">
        <f>SUM(AS168:AS297)</f>
        <v>202035</v>
      </c>
      <c r="BV168" s="722">
        <f>SUM(AV168:AV297)</f>
        <v>1043448</v>
      </c>
      <c r="BW168" s="722">
        <f>SUM(BE168:BE297)</f>
        <v>-92004</v>
      </c>
      <c r="BX168" s="722">
        <f>SUM(BB168:BB297)</f>
        <v>1043448</v>
      </c>
      <c r="BY168" s="725"/>
      <c r="BZ168" s="722">
        <f>SUM(BH168:BH297)</f>
        <v>951444</v>
      </c>
      <c r="CA168" s="722">
        <f>SUM(BQ168,BZ168)</f>
        <v>951444</v>
      </c>
      <c r="CB168" s="516">
        <v>0</v>
      </c>
      <c r="CC168" s="297">
        <v>0</v>
      </c>
      <c r="CD168" s="722">
        <f>SUM(CC168:CC297)</f>
        <v>800396</v>
      </c>
    </row>
    <row r="169" spans="1:82" x14ac:dyDescent="0.2">
      <c r="A169" s="703"/>
      <c r="B169" s="292" t="s">
        <v>1381</v>
      </c>
      <c r="C169" s="293" t="s">
        <v>767</v>
      </c>
      <c r="D169" s="314"/>
      <c r="E169" s="512" t="s">
        <v>766</v>
      </c>
      <c r="F169" s="294" t="s">
        <v>768</v>
      </c>
      <c r="G169" s="296"/>
      <c r="H169" s="296"/>
      <c r="I169" s="296"/>
      <c r="J169" s="296"/>
      <c r="K169" s="296"/>
      <c r="L169" s="296"/>
      <c r="M169" s="296"/>
      <c r="N169" s="296"/>
      <c r="O169" s="296"/>
      <c r="P169" s="296"/>
      <c r="Q169" s="296"/>
      <c r="R169" s="296"/>
      <c r="S169" s="296"/>
      <c r="T169" s="296"/>
      <c r="U169" s="296"/>
      <c r="V169" s="296"/>
      <c r="W169" s="296"/>
      <c r="X169" s="296"/>
      <c r="Y169" s="296"/>
      <c r="Z169" s="296"/>
      <c r="AA169" s="296"/>
      <c r="AB169" s="296"/>
      <c r="AC169" s="296"/>
      <c r="AD169" s="296"/>
      <c r="AE169" s="296"/>
      <c r="AF169" s="296"/>
      <c r="AG169" s="296"/>
      <c r="AH169" s="299"/>
      <c r="AI169" s="296"/>
      <c r="AJ169" s="299"/>
      <c r="AK169" s="296">
        <f t="shared" si="55"/>
        <v>4212</v>
      </c>
      <c r="AL169" s="296">
        <f t="shared" si="55"/>
        <v>1138</v>
      </c>
      <c r="AM169" s="296">
        <f t="shared" si="55"/>
        <v>5350</v>
      </c>
      <c r="AN169" s="296">
        <v>4212</v>
      </c>
      <c r="AO169" s="296">
        <v>1138</v>
      </c>
      <c r="AP169" s="296">
        <f t="shared" si="56"/>
        <v>5350</v>
      </c>
      <c r="AQ169" s="296">
        <f t="shared" si="57"/>
        <v>0</v>
      </c>
      <c r="AR169" s="296">
        <f t="shared" si="57"/>
        <v>0</v>
      </c>
      <c r="AS169" s="296">
        <f t="shared" si="57"/>
        <v>0</v>
      </c>
      <c r="AT169" s="296">
        <v>4212</v>
      </c>
      <c r="AU169" s="296">
        <v>1138</v>
      </c>
      <c r="AV169" s="296">
        <f t="shared" si="58"/>
        <v>5350</v>
      </c>
      <c r="AW169" s="296"/>
      <c r="AX169" s="296"/>
      <c r="AY169" s="296"/>
      <c r="AZ169" s="296">
        <v>4212</v>
      </c>
      <c r="BA169" s="296">
        <v>1138</v>
      </c>
      <c r="BB169" s="296">
        <v>5350</v>
      </c>
      <c r="BC169" s="499">
        <f t="shared" si="59"/>
        <v>0</v>
      </c>
      <c r="BD169" s="499">
        <f t="shared" si="59"/>
        <v>0</v>
      </c>
      <c r="BE169" s="499">
        <f t="shared" si="59"/>
        <v>0</v>
      </c>
      <c r="BF169" s="296">
        <v>4212</v>
      </c>
      <c r="BG169" s="296">
        <v>1138</v>
      </c>
      <c r="BH169" s="296">
        <v>5350</v>
      </c>
      <c r="BI169" s="723"/>
      <c r="BJ169" s="723"/>
      <c r="BK169" s="723"/>
      <c r="BL169" s="723"/>
      <c r="BM169" s="723"/>
      <c r="BN169" s="723"/>
      <c r="BO169" s="723"/>
      <c r="BP169" s="725"/>
      <c r="BQ169" s="723"/>
      <c r="BR169" s="723"/>
      <c r="BS169" s="723"/>
      <c r="BT169" s="723"/>
      <c r="BU169" s="723"/>
      <c r="BV169" s="723"/>
      <c r="BW169" s="723"/>
      <c r="BX169" s="723"/>
      <c r="BY169" s="725"/>
      <c r="BZ169" s="723"/>
      <c r="CA169" s="723"/>
      <c r="CB169" s="516">
        <v>4212332.2834645668</v>
      </c>
      <c r="CC169" s="297">
        <v>5350</v>
      </c>
      <c r="CD169" s="723"/>
    </row>
    <row r="170" spans="1:82" x14ac:dyDescent="0.2">
      <c r="A170" s="703"/>
      <c r="B170" s="292" t="s">
        <v>1381</v>
      </c>
      <c r="C170" s="293" t="s">
        <v>769</v>
      </c>
      <c r="D170" s="314"/>
      <c r="E170" s="512" t="s">
        <v>766</v>
      </c>
      <c r="F170" s="294" t="s">
        <v>770</v>
      </c>
      <c r="G170" s="296"/>
      <c r="H170" s="296"/>
      <c r="I170" s="296"/>
      <c r="J170" s="296"/>
      <c r="K170" s="296"/>
      <c r="L170" s="296"/>
      <c r="M170" s="296"/>
      <c r="N170" s="296"/>
      <c r="O170" s="296"/>
      <c r="P170" s="296"/>
      <c r="Q170" s="296"/>
      <c r="R170" s="296"/>
      <c r="S170" s="296"/>
      <c r="T170" s="296"/>
      <c r="U170" s="296"/>
      <c r="V170" s="296"/>
      <c r="W170" s="296"/>
      <c r="X170" s="296"/>
      <c r="Y170" s="296"/>
      <c r="Z170" s="296"/>
      <c r="AA170" s="296"/>
      <c r="AB170" s="296"/>
      <c r="AC170" s="296"/>
      <c r="AD170" s="296"/>
      <c r="AE170" s="296"/>
      <c r="AF170" s="296"/>
      <c r="AG170" s="296"/>
      <c r="AH170" s="299"/>
      <c r="AI170" s="296"/>
      <c r="AJ170" s="299"/>
      <c r="AK170" s="296">
        <f t="shared" si="55"/>
        <v>7569</v>
      </c>
      <c r="AL170" s="296">
        <f t="shared" si="55"/>
        <v>2043</v>
      </c>
      <c r="AM170" s="296">
        <f t="shared" si="55"/>
        <v>9612</v>
      </c>
      <c r="AN170" s="296">
        <v>7569</v>
      </c>
      <c r="AO170" s="296">
        <v>2043</v>
      </c>
      <c r="AP170" s="296">
        <f t="shared" si="56"/>
        <v>9612</v>
      </c>
      <c r="AQ170" s="296">
        <f t="shared" si="57"/>
        <v>0</v>
      </c>
      <c r="AR170" s="296">
        <f t="shared" si="57"/>
        <v>0</v>
      </c>
      <c r="AS170" s="296">
        <f t="shared" si="57"/>
        <v>0</v>
      </c>
      <c r="AT170" s="296">
        <v>7569</v>
      </c>
      <c r="AU170" s="296">
        <v>2043</v>
      </c>
      <c r="AV170" s="296">
        <f t="shared" si="58"/>
        <v>9612</v>
      </c>
      <c r="AW170" s="296"/>
      <c r="AX170" s="296"/>
      <c r="AY170" s="296"/>
      <c r="AZ170" s="296">
        <v>7569</v>
      </c>
      <c r="BA170" s="296">
        <v>2043</v>
      </c>
      <c r="BB170" s="296">
        <v>9612</v>
      </c>
      <c r="BC170" s="499">
        <f t="shared" si="59"/>
        <v>0</v>
      </c>
      <c r="BD170" s="499">
        <f t="shared" si="59"/>
        <v>0</v>
      </c>
      <c r="BE170" s="499">
        <f t="shared" si="59"/>
        <v>0</v>
      </c>
      <c r="BF170" s="296">
        <v>7569</v>
      </c>
      <c r="BG170" s="296">
        <v>2043</v>
      </c>
      <c r="BH170" s="296">
        <v>9612</v>
      </c>
      <c r="BI170" s="723"/>
      <c r="BJ170" s="723"/>
      <c r="BK170" s="723"/>
      <c r="BL170" s="723"/>
      <c r="BM170" s="723"/>
      <c r="BN170" s="723"/>
      <c r="BO170" s="723"/>
      <c r="BP170" s="725"/>
      <c r="BQ170" s="723"/>
      <c r="BR170" s="723"/>
      <c r="BS170" s="723"/>
      <c r="BT170" s="723"/>
      <c r="BU170" s="723"/>
      <c r="BV170" s="723"/>
      <c r="BW170" s="723"/>
      <c r="BX170" s="723"/>
      <c r="BY170" s="725"/>
      <c r="BZ170" s="723"/>
      <c r="CA170" s="723"/>
      <c r="CB170" s="516">
        <v>7568802.362204724</v>
      </c>
      <c r="CC170" s="297">
        <v>9612</v>
      </c>
      <c r="CD170" s="723"/>
    </row>
    <row r="171" spans="1:82" x14ac:dyDescent="0.2">
      <c r="A171" s="703"/>
      <c r="B171" s="292" t="s">
        <v>1381</v>
      </c>
      <c r="C171" s="293" t="s">
        <v>771</v>
      </c>
      <c r="D171" s="314"/>
      <c r="E171" s="512" t="s">
        <v>766</v>
      </c>
      <c r="F171" s="294" t="s">
        <v>770</v>
      </c>
      <c r="G171" s="296"/>
      <c r="H171" s="296"/>
      <c r="I171" s="296"/>
      <c r="J171" s="296"/>
      <c r="K171" s="296"/>
      <c r="L171" s="296"/>
      <c r="M171" s="296"/>
      <c r="N171" s="296"/>
      <c r="O171" s="296"/>
      <c r="P171" s="296"/>
      <c r="Q171" s="296"/>
      <c r="R171" s="296"/>
      <c r="S171" s="296"/>
      <c r="T171" s="296"/>
      <c r="U171" s="296"/>
      <c r="V171" s="296"/>
      <c r="W171" s="296"/>
      <c r="X171" s="296"/>
      <c r="Y171" s="296"/>
      <c r="Z171" s="296"/>
      <c r="AA171" s="296"/>
      <c r="AB171" s="296"/>
      <c r="AC171" s="296"/>
      <c r="AD171" s="296"/>
      <c r="AE171" s="296"/>
      <c r="AF171" s="296"/>
      <c r="AG171" s="296"/>
      <c r="AH171" s="299"/>
      <c r="AI171" s="296"/>
      <c r="AJ171" s="299"/>
      <c r="AK171" s="296">
        <f t="shared" si="55"/>
        <v>5269</v>
      </c>
      <c r="AL171" s="296">
        <f t="shared" si="55"/>
        <v>1422</v>
      </c>
      <c r="AM171" s="296">
        <f t="shared" si="55"/>
        <v>6691</v>
      </c>
      <c r="AN171" s="296">
        <v>5269</v>
      </c>
      <c r="AO171" s="296">
        <v>1422</v>
      </c>
      <c r="AP171" s="296">
        <f t="shared" si="56"/>
        <v>6691</v>
      </c>
      <c r="AQ171" s="296">
        <f t="shared" si="57"/>
        <v>0</v>
      </c>
      <c r="AR171" s="296">
        <f t="shared" si="57"/>
        <v>0</v>
      </c>
      <c r="AS171" s="296">
        <f t="shared" si="57"/>
        <v>0</v>
      </c>
      <c r="AT171" s="296">
        <v>5269</v>
      </c>
      <c r="AU171" s="296">
        <v>1422</v>
      </c>
      <c r="AV171" s="296">
        <f t="shared" si="58"/>
        <v>6691</v>
      </c>
      <c r="AW171" s="296"/>
      <c r="AX171" s="296"/>
      <c r="AY171" s="296"/>
      <c r="AZ171" s="296">
        <v>5269</v>
      </c>
      <c r="BA171" s="296">
        <v>1422</v>
      </c>
      <c r="BB171" s="296">
        <v>6691</v>
      </c>
      <c r="BC171" s="499">
        <f t="shared" si="59"/>
        <v>0</v>
      </c>
      <c r="BD171" s="499">
        <f t="shared" si="59"/>
        <v>0</v>
      </c>
      <c r="BE171" s="499">
        <f t="shared" si="59"/>
        <v>0</v>
      </c>
      <c r="BF171" s="296">
        <v>5269</v>
      </c>
      <c r="BG171" s="296">
        <v>1422</v>
      </c>
      <c r="BH171" s="296">
        <v>6691</v>
      </c>
      <c r="BI171" s="723"/>
      <c r="BJ171" s="723"/>
      <c r="BK171" s="723"/>
      <c r="BL171" s="723"/>
      <c r="BM171" s="723"/>
      <c r="BN171" s="723"/>
      <c r="BO171" s="723"/>
      <c r="BP171" s="725"/>
      <c r="BQ171" s="723"/>
      <c r="BR171" s="723"/>
      <c r="BS171" s="723"/>
      <c r="BT171" s="723"/>
      <c r="BU171" s="723"/>
      <c r="BV171" s="723"/>
      <c r="BW171" s="723"/>
      <c r="BX171" s="723"/>
      <c r="BY171" s="725"/>
      <c r="BZ171" s="723"/>
      <c r="CA171" s="723"/>
      <c r="CB171" s="516">
        <v>5268780</v>
      </c>
      <c r="CC171" s="297">
        <v>6691</v>
      </c>
      <c r="CD171" s="723"/>
    </row>
    <row r="172" spans="1:82" x14ac:dyDescent="0.2">
      <c r="A172" s="703"/>
      <c r="B172" s="292" t="s">
        <v>1381</v>
      </c>
      <c r="C172" s="293" t="s">
        <v>772</v>
      </c>
      <c r="D172" s="314"/>
      <c r="E172" s="512" t="s">
        <v>766</v>
      </c>
      <c r="F172" s="294" t="s">
        <v>768</v>
      </c>
      <c r="G172" s="296"/>
      <c r="H172" s="296"/>
      <c r="I172" s="296"/>
      <c r="J172" s="296"/>
      <c r="K172" s="296"/>
      <c r="L172" s="296"/>
      <c r="M172" s="296"/>
      <c r="N172" s="296"/>
      <c r="O172" s="296"/>
      <c r="P172" s="296"/>
      <c r="Q172" s="296"/>
      <c r="R172" s="296"/>
      <c r="S172" s="296"/>
      <c r="T172" s="296"/>
      <c r="U172" s="296"/>
      <c r="V172" s="296"/>
      <c r="W172" s="296"/>
      <c r="X172" s="296"/>
      <c r="Y172" s="296"/>
      <c r="Z172" s="296"/>
      <c r="AA172" s="296"/>
      <c r="AB172" s="296"/>
      <c r="AC172" s="296"/>
      <c r="AD172" s="296"/>
      <c r="AE172" s="296"/>
      <c r="AF172" s="296"/>
      <c r="AG172" s="296"/>
      <c r="AH172" s="299"/>
      <c r="AI172" s="296"/>
      <c r="AJ172" s="299"/>
      <c r="AK172" s="296">
        <f t="shared" si="55"/>
        <v>3421</v>
      </c>
      <c r="AL172" s="296">
        <f t="shared" si="55"/>
        <v>924</v>
      </c>
      <c r="AM172" s="296">
        <f t="shared" si="55"/>
        <v>4345</v>
      </c>
      <c r="AN172" s="296">
        <v>3421</v>
      </c>
      <c r="AO172" s="296">
        <v>924</v>
      </c>
      <c r="AP172" s="296">
        <f t="shared" si="56"/>
        <v>4345</v>
      </c>
      <c r="AQ172" s="296">
        <f t="shared" si="57"/>
        <v>0</v>
      </c>
      <c r="AR172" s="296">
        <f t="shared" si="57"/>
        <v>0</v>
      </c>
      <c r="AS172" s="296">
        <f t="shared" si="57"/>
        <v>0</v>
      </c>
      <c r="AT172" s="296">
        <v>3421</v>
      </c>
      <c r="AU172" s="296">
        <v>924</v>
      </c>
      <c r="AV172" s="296">
        <f t="shared" si="58"/>
        <v>4345</v>
      </c>
      <c r="AW172" s="296"/>
      <c r="AX172" s="296"/>
      <c r="AY172" s="296"/>
      <c r="AZ172" s="296">
        <v>3421</v>
      </c>
      <c r="BA172" s="296">
        <v>924</v>
      </c>
      <c r="BB172" s="296">
        <v>4345</v>
      </c>
      <c r="BC172" s="499">
        <f t="shared" si="59"/>
        <v>0</v>
      </c>
      <c r="BD172" s="499">
        <f t="shared" si="59"/>
        <v>0</v>
      </c>
      <c r="BE172" s="499">
        <f t="shared" si="59"/>
        <v>0</v>
      </c>
      <c r="BF172" s="296">
        <v>3421</v>
      </c>
      <c r="BG172" s="296">
        <v>924</v>
      </c>
      <c r="BH172" s="296">
        <v>4345</v>
      </c>
      <c r="BI172" s="723"/>
      <c r="BJ172" s="723"/>
      <c r="BK172" s="723"/>
      <c r="BL172" s="723"/>
      <c r="BM172" s="723"/>
      <c r="BN172" s="723"/>
      <c r="BO172" s="723"/>
      <c r="BP172" s="725"/>
      <c r="BQ172" s="723"/>
      <c r="BR172" s="723"/>
      <c r="BS172" s="723"/>
      <c r="BT172" s="723"/>
      <c r="BU172" s="723"/>
      <c r="BV172" s="723"/>
      <c r="BW172" s="723"/>
      <c r="BX172" s="723"/>
      <c r="BY172" s="725"/>
      <c r="BZ172" s="723"/>
      <c r="CA172" s="723"/>
      <c r="CB172" s="516">
        <v>3421295</v>
      </c>
      <c r="CC172" s="297">
        <v>4345</v>
      </c>
      <c r="CD172" s="723"/>
    </row>
    <row r="173" spans="1:82" x14ac:dyDescent="0.2">
      <c r="A173" s="703"/>
      <c r="B173" s="292" t="s">
        <v>1381</v>
      </c>
      <c r="C173" s="293" t="s">
        <v>773</v>
      </c>
      <c r="D173" s="314"/>
      <c r="E173" s="512" t="s">
        <v>766</v>
      </c>
      <c r="F173" s="294" t="s">
        <v>774</v>
      </c>
      <c r="G173" s="296"/>
      <c r="H173" s="296"/>
      <c r="I173" s="296"/>
      <c r="J173" s="296"/>
      <c r="K173" s="296"/>
      <c r="L173" s="296"/>
      <c r="M173" s="296"/>
      <c r="N173" s="296"/>
      <c r="O173" s="296"/>
      <c r="P173" s="296"/>
      <c r="Q173" s="296"/>
      <c r="R173" s="296"/>
      <c r="S173" s="296"/>
      <c r="T173" s="296"/>
      <c r="U173" s="296"/>
      <c r="V173" s="296"/>
      <c r="W173" s="296"/>
      <c r="X173" s="296"/>
      <c r="Y173" s="296"/>
      <c r="Z173" s="296"/>
      <c r="AA173" s="296"/>
      <c r="AB173" s="296"/>
      <c r="AC173" s="296"/>
      <c r="AD173" s="296"/>
      <c r="AE173" s="296"/>
      <c r="AF173" s="296"/>
      <c r="AG173" s="296"/>
      <c r="AH173" s="299"/>
      <c r="AI173" s="296"/>
      <c r="AJ173" s="299"/>
      <c r="AK173" s="296">
        <f t="shared" si="55"/>
        <v>8926</v>
      </c>
      <c r="AL173" s="296">
        <f t="shared" si="55"/>
        <v>2410</v>
      </c>
      <c r="AM173" s="296">
        <f t="shared" si="55"/>
        <v>11336</v>
      </c>
      <c r="AN173" s="296">
        <v>8926</v>
      </c>
      <c r="AO173" s="296">
        <v>2410</v>
      </c>
      <c r="AP173" s="296">
        <f t="shared" si="56"/>
        <v>11336</v>
      </c>
      <c r="AQ173" s="296">
        <f t="shared" si="57"/>
        <v>0</v>
      </c>
      <c r="AR173" s="296">
        <f t="shared" si="57"/>
        <v>0</v>
      </c>
      <c r="AS173" s="296">
        <f t="shared" si="57"/>
        <v>0</v>
      </c>
      <c r="AT173" s="296">
        <v>8926</v>
      </c>
      <c r="AU173" s="296">
        <v>2410</v>
      </c>
      <c r="AV173" s="296">
        <f t="shared" si="58"/>
        <v>11336</v>
      </c>
      <c r="AW173" s="296"/>
      <c r="AX173" s="296"/>
      <c r="AY173" s="296"/>
      <c r="AZ173" s="296">
        <v>8926</v>
      </c>
      <c r="BA173" s="296">
        <v>2410</v>
      </c>
      <c r="BB173" s="296">
        <v>11336</v>
      </c>
      <c r="BC173" s="499">
        <f t="shared" si="59"/>
        <v>0</v>
      </c>
      <c r="BD173" s="499">
        <f t="shared" si="59"/>
        <v>0</v>
      </c>
      <c r="BE173" s="499">
        <f t="shared" si="59"/>
        <v>0</v>
      </c>
      <c r="BF173" s="296">
        <v>8926</v>
      </c>
      <c r="BG173" s="296">
        <v>2410</v>
      </c>
      <c r="BH173" s="296">
        <v>11336</v>
      </c>
      <c r="BI173" s="723"/>
      <c r="BJ173" s="723"/>
      <c r="BK173" s="723"/>
      <c r="BL173" s="723"/>
      <c r="BM173" s="723"/>
      <c r="BN173" s="723"/>
      <c r="BO173" s="723"/>
      <c r="BP173" s="725"/>
      <c r="BQ173" s="723"/>
      <c r="BR173" s="723"/>
      <c r="BS173" s="723"/>
      <c r="BT173" s="723"/>
      <c r="BU173" s="723"/>
      <c r="BV173" s="723"/>
      <c r="BW173" s="723"/>
      <c r="BX173" s="723"/>
      <c r="BY173" s="725"/>
      <c r="BZ173" s="723"/>
      <c r="CA173" s="723"/>
      <c r="CB173" s="516">
        <v>8925660</v>
      </c>
      <c r="CC173" s="297">
        <v>11336</v>
      </c>
      <c r="CD173" s="723"/>
    </row>
    <row r="174" spans="1:82" x14ac:dyDescent="0.2">
      <c r="A174" s="703"/>
      <c r="B174" s="292" t="s">
        <v>1381</v>
      </c>
      <c r="C174" s="293" t="s">
        <v>775</v>
      </c>
      <c r="D174" s="314"/>
      <c r="E174" s="512" t="s">
        <v>766</v>
      </c>
      <c r="F174" s="294" t="s">
        <v>768</v>
      </c>
      <c r="G174" s="296"/>
      <c r="H174" s="296"/>
      <c r="I174" s="296"/>
      <c r="J174" s="296"/>
      <c r="K174" s="296"/>
      <c r="L174" s="296"/>
      <c r="M174" s="296"/>
      <c r="N174" s="296"/>
      <c r="O174" s="296"/>
      <c r="P174" s="296"/>
      <c r="Q174" s="296"/>
      <c r="R174" s="296"/>
      <c r="S174" s="296"/>
      <c r="T174" s="296"/>
      <c r="U174" s="296"/>
      <c r="V174" s="296"/>
      <c r="W174" s="296"/>
      <c r="X174" s="296"/>
      <c r="Y174" s="296"/>
      <c r="Z174" s="296"/>
      <c r="AA174" s="296"/>
      <c r="AB174" s="296"/>
      <c r="AC174" s="296"/>
      <c r="AD174" s="296"/>
      <c r="AE174" s="296"/>
      <c r="AF174" s="296"/>
      <c r="AG174" s="296"/>
      <c r="AH174" s="299"/>
      <c r="AI174" s="296"/>
      <c r="AJ174" s="299"/>
      <c r="AK174" s="296">
        <f t="shared" si="55"/>
        <v>2359</v>
      </c>
      <c r="AL174" s="296">
        <f t="shared" si="55"/>
        <v>637</v>
      </c>
      <c r="AM174" s="296">
        <f t="shared" si="55"/>
        <v>2996</v>
      </c>
      <c r="AN174" s="296">
        <v>2359</v>
      </c>
      <c r="AO174" s="296">
        <v>637</v>
      </c>
      <c r="AP174" s="296">
        <f t="shared" si="56"/>
        <v>2996</v>
      </c>
      <c r="AQ174" s="296">
        <f t="shared" si="57"/>
        <v>0</v>
      </c>
      <c r="AR174" s="296">
        <f t="shared" si="57"/>
        <v>0</v>
      </c>
      <c r="AS174" s="296">
        <f t="shared" si="57"/>
        <v>0</v>
      </c>
      <c r="AT174" s="296">
        <v>2359</v>
      </c>
      <c r="AU174" s="296">
        <v>637</v>
      </c>
      <c r="AV174" s="296">
        <f t="shared" si="58"/>
        <v>2996</v>
      </c>
      <c r="AW174" s="296"/>
      <c r="AX174" s="296"/>
      <c r="AY174" s="296"/>
      <c r="AZ174" s="296">
        <v>2359</v>
      </c>
      <c r="BA174" s="296">
        <v>637</v>
      </c>
      <c r="BB174" s="296">
        <v>2996</v>
      </c>
      <c r="BC174" s="499">
        <f t="shared" si="59"/>
        <v>0</v>
      </c>
      <c r="BD174" s="499">
        <f t="shared" si="59"/>
        <v>0</v>
      </c>
      <c r="BE174" s="499">
        <f t="shared" si="59"/>
        <v>0</v>
      </c>
      <c r="BF174" s="296">
        <v>2359</v>
      </c>
      <c r="BG174" s="296">
        <v>637</v>
      </c>
      <c r="BH174" s="296">
        <v>2996</v>
      </c>
      <c r="BI174" s="723"/>
      <c r="BJ174" s="723"/>
      <c r="BK174" s="723"/>
      <c r="BL174" s="723"/>
      <c r="BM174" s="723"/>
      <c r="BN174" s="723"/>
      <c r="BO174" s="723"/>
      <c r="BP174" s="725"/>
      <c r="BQ174" s="723"/>
      <c r="BR174" s="723"/>
      <c r="BS174" s="723"/>
      <c r="BT174" s="723"/>
      <c r="BU174" s="723"/>
      <c r="BV174" s="723"/>
      <c r="BW174" s="723"/>
      <c r="BX174" s="723"/>
      <c r="BY174" s="725"/>
      <c r="BZ174" s="723"/>
      <c r="CA174" s="723"/>
      <c r="CB174" s="516">
        <v>2358767</v>
      </c>
      <c r="CC174" s="297">
        <v>2996</v>
      </c>
      <c r="CD174" s="723"/>
    </row>
    <row r="175" spans="1:82" x14ac:dyDescent="0.2">
      <c r="A175" s="703"/>
      <c r="B175" s="292" t="s">
        <v>1381</v>
      </c>
      <c r="C175" s="293" t="s">
        <v>776</v>
      </c>
      <c r="D175" s="314"/>
      <c r="E175" s="512" t="s">
        <v>766</v>
      </c>
      <c r="F175" s="294" t="s">
        <v>774</v>
      </c>
      <c r="G175" s="296"/>
      <c r="H175" s="296"/>
      <c r="I175" s="296"/>
      <c r="J175" s="296"/>
      <c r="K175" s="296"/>
      <c r="L175" s="296"/>
      <c r="M175" s="296"/>
      <c r="N175" s="296"/>
      <c r="O175" s="296"/>
      <c r="P175" s="296"/>
      <c r="Q175" s="296"/>
      <c r="R175" s="296"/>
      <c r="S175" s="296"/>
      <c r="T175" s="296"/>
      <c r="U175" s="296"/>
      <c r="V175" s="296"/>
      <c r="W175" s="296"/>
      <c r="X175" s="296"/>
      <c r="Y175" s="296"/>
      <c r="Z175" s="296"/>
      <c r="AA175" s="296"/>
      <c r="AB175" s="296"/>
      <c r="AC175" s="296"/>
      <c r="AD175" s="296"/>
      <c r="AE175" s="296"/>
      <c r="AF175" s="296"/>
      <c r="AG175" s="296"/>
      <c r="AH175" s="299"/>
      <c r="AI175" s="296"/>
      <c r="AJ175" s="299"/>
      <c r="AK175" s="296">
        <f t="shared" si="55"/>
        <v>9270</v>
      </c>
      <c r="AL175" s="296">
        <f t="shared" si="55"/>
        <v>2503</v>
      </c>
      <c r="AM175" s="296">
        <f t="shared" si="55"/>
        <v>11773</v>
      </c>
      <c r="AN175" s="296">
        <v>9270</v>
      </c>
      <c r="AO175" s="296">
        <v>2503</v>
      </c>
      <c r="AP175" s="296">
        <f t="shared" si="56"/>
        <v>11773</v>
      </c>
      <c r="AQ175" s="296">
        <f t="shared" si="57"/>
        <v>0</v>
      </c>
      <c r="AR175" s="296">
        <f t="shared" si="57"/>
        <v>0</v>
      </c>
      <c r="AS175" s="296">
        <f t="shared" si="57"/>
        <v>0</v>
      </c>
      <c r="AT175" s="296">
        <v>9270</v>
      </c>
      <c r="AU175" s="296">
        <v>2503</v>
      </c>
      <c r="AV175" s="296">
        <f t="shared" si="58"/>
        <v>11773</v>
      </c>
      <c r="AW175" s="296"/>
      <c r="AX175" s="296"/>
      <c r="AY175" s="296"/>
      <c r="AZ175" s="296">
        <v>9270</v>
      </c>
      <c r="BA175" s="296">
        <v>2503</v>
      </c>
      <c r="BB175" s="296">
        <v>11773</v>
      </c>
      <c r="BC175" s="499">
        <f t="shared" si="59"/>
        <v>0</v>
      </c>
      <c r="BD175" s="499">
        <f t="shared" si="59"/>
        <v>0</v>
      </c>
      <c r="BE175" s="499">
        <f t="shared" si="59"/>
        <v>0</v>
      </c>
      <c r="BF175" s="296">
        <v>9270</v>
      </c>
      <c r="BG175" s="296">
        <v>2503</v>
      </c>
      <c r="BH175" s="296">
        <v>11773</v>
      </c>
      <c r="BI175" s="723"/>
      <c r="BJ175" s="723"/>
      <c r="BK175" s="723"/>
      <c r="BL175" s="723"/>
      <c r="BM175" s="723"/>
      <c r="BN175" s="723"/>
      <c r="BO175" s="723"/>
      <c r="BP175" s="725"/>
      <c r="BQ175" s="723"/>
      <c r="BR175" s="723"/>
      <c r="BS175" s="723"/>
      <c r="BT175" s="723"/>
      <c r="BU175" s="723"/>
      <c r="BV175" s="723"/>
      <c r="BW175" s="723"/>
      <c r="BX175" s="723"/>
      <c r="BY175" s="725"/>
      <c r="BZ175" s="723"/>
      <c r="CA175" s="723"/>
      <c r="CB175" s="516">
        <v>9269748</v>
      </c>
      <c r="CC175" s="297">
        <v>11773</v>
      </c>
      <c r="CD175" s="723"/>
    </row>
    <row r="176" spans="1:82" x14ac:dyDescent="0.2">
      <c r="A176" s="703"/>
      <c r="B176" s="292" t="s">
        <v>1381</v>
      </c>
      <c r="C176" s="293" t="s">
        <v>777</v>
      </c>
      <c r="D176" s="314"/>
      <c r="E176" s="512" t="s">
        <v>766</v>
      </c>
      <c r="F176" s="294" t="s">
        <v>768</v>
      </c>
      <c r="G176" s="296"/>
      <c r="H176" s="296"/>
      <c r="I176" s="296"/>
      <c r="J176" s="296"/>
      <c r="K176" s="296"/>
      <c r="L176" s="296"/>
      <c r="M176" s="296"/>
      <c r="N176" s="296"/>
      <c r="O176" s="296"/>
      <c r="P176" s="296"/>
      <c r="Q176" s="296"/>
      <c r="R176" s="296"/>
      <c r="S176" s="296"/>
      <c r="T176" s="296"/>
      <c r="U176" s="296"/>
      <c r="V176" s="296"/>
      <c r="W176" s="296"/>
      <c r="X176" s="296"/>
      <c r="Y176" s="296"/>
      <c r="Z176" s="296"/>
      <c r="AA176" s="296"/>
      <c r="AB176" s="296"/>
      <c r="AC176" s="296"/>
      <c r="AD176" s="296"/>
      <c r="AE176" s="296"/>
      <c r="AF176" s="296"/>
      <c r="AG176" s="296"/>
      <c r="AH176" s="299"/>
      <c r="AI176" s="296"/>
      <c r="AJ176" s="299"/>
      <c r="AK176" s="296">
        <f t="shared" si="55"/>
        <v>4243</v>
      </c>
      <c r="AL176" s="296">
        <f t="shared" si="55"/>
        <v>1145</v>
      </c>
      <c r="AM176" s="296">
        <f t="shared" si="55"/>
        <v>5388</v>
      </c>
      <c r="AN176" s="296">
        <v>4243</v>
      </c>
      <c r="AO176" s="296">
        <v>1145</v>
      </c>
      <c r="AP176" s="296">
        <f t="shared" si="56"/>
        <v>5388</v>
      </c>
      <c r="AQ176" s="296">
        <f t="shared" si="57"/>
        <v>0</v>
      </c>
      <c r="AR176" s="296">
        <f t="shared" si="57"/>
        <v>0</v>
      </c>
      <c r="AS176" s="296">
        <f t="shared" si="57"/>
        <v>0</v>
      </c>
      <c r="AT176" s="296">
        <v>4243</v>
      </c>
      <c r="AU176" s="296">
        <v>1145</v>
      </c>
      <c r="AV176" s="296">
        <f t="shared" si="58"/>
        <v>5388</v>
      </c>
      <c r="AW176" s="296"/>
      <c r="AX176" s="296"/>
      <c r="AY176" s="296"/>
      <c r="AZ176" s="296">
        <v>4243</v>
      </c>
      <c r="BA176" s="296">
        <v>1145</v>
      </c>
      <c r="BB176" s="296">
        <v>5388</v>
      </c>
      <c r="BC176" s="499">
        <f t="shared" si="59"/>
        <v>0</v>
      </c>
      <c r="BD176" s="499">
        <f t="shared" si="59"/>
        <v>0</v>
      </c>
      <c r="BE176" s="499">
        <f t="shared" si="59"/>
        <v>0</v>
      </c>
      <c r="BF176" s="296">
        <v>4243</v>
      </c>
      <c r="BG176" s="296">
        <v>1145</v>
      </c>
      <c r="BH176" s="296">
        <v>5388</v>
      </c>
      <c r="BI176" s="723"/>
      <c r="BJ176" s="723"/>
      <c r="BK176" s="723"/>
      <c r="BL176" s="723"/>
      <c r="BM176" s="723"/>
      <c r="BN176" s="723"/>
      <c r="BO176" s="723"/>
      <c r="BP176" s="725"/>
      <c r="BQ176" s="723"/>
      <c r="BR176" s="723"/>
      <c r="BS176" s="723"/>
      <c r="BT176" s="723"/>
      <c r="BU176" s="723"/>
      <c r="BV176" s="723"/>
      <c r="BW176" s="723"/>
      <c r="BX176" s="723"/>
      <c r="BY176" s="725"/>
      <c r="BZ176" s="723"/>
      <c r="CA176" s="723"/>
      <c r="CB176" s="516">
        <v>4242785</v>
      </c>
      <c r="CC176" s="297">
        <v>5388</v>
      </c>
      <c r="CD176" s="723"/>
    </row>
    <row r="177" spans="1:82" x14ac:dyDescent="0.2">
      <c r="A177" s="703"/>
      <c r="B177" s="292" t="s">
        <v>1381</v>
      </c>
      <c r="C177" s="293" t="s">
        <v>778</v>
      </c>
      <c r="D177" s="314"/>
      <c r="E177" s="512" t="s">
        <v>766</v>
      </c>
      <c r="F177" s="294" t="s">
        <v>774</v>
      </c>
      <c r="G177" s="296"/>
      <c r="H177" s="296"/>
      <c r="I177" s="296"/>
      <c r="J177" s="296"/>
      <c r="K177" s="296"/>
      <c r="L177" s="296"/>
      <c r="M177" s="296"/>
      <c r="N177" s="296"/>
      <c r="O177" s="296"/>
      <c r="P177" s="296"/>
      <c r="Q177" s="296"/>
      <c r="R177" s="296"/>
      <c r="S177" s="296"/>
      <c r="T177" s="296"/>
      <c r="U177" s="296"/>
      <c r="V177" s="296"/>
      <c r="W177" s="296"/>
      <c r="X177" s="296"/>
      <c r="Y177" s="296"/>
      <c r="Z177" s="296"/>
      <c r="AA177" s="296"/>
      <c r="AB177" s="296"/>
      <c r="AC177" s="296"/>
      <c r="AD177" s="296"/>
      <c r="AE177" s="296"/>
      <c r="AF177" s="296"/>
      <c r="AG177" s="296"/>
      <c r="AH177" s="299"/>
      <c r="AI177" s="296"/>
      <c r="AJ177" s="299"/>
      <c r="AK177" s="296">
        <f t="shared" si="55"/>
        <v>4706</v>
      </c>
      <c r="AL177" s="296">
        <f t="shared" si="55"/>
        <v>1271</v>
      </c>
      <c r="AM177" s="296">
        <f t="shared" si="55"/>
        <v>5977</v>
      </c>
      <c r="AN177" s="296">
        <v>4706</v>
      </c>
      <c r="AO177" s="296">
        <v>1271</v>
      </c>
      <c r="AP177" s="296">
        <f t="shared" si="56"/>
        <v>5977</v>
      </c>
      <c r="AQ177" s="296">
        <f t="shared" si="57"/>
        <v>0</v>
      </c>
      <c r="AR177" s="296">
        <f t="shared" si="57"/>
        <v>0</v>
      </c>
      <c r="AS177" s="296">
        <f t="shared" si="57"/>
        <v>0</v>
      </c>
      <c r="AT177" s="296">
        <v>4706</v>
      </c>
      <c r="AU177" s="296">
        <v>1271</v>
      </c>
      <c r="AV177" s="296">
        <f t="shared" si="58"/>
        <v>5977</v>
      </c>
      <c r="AW177" s="296"/>
      <c r="AX177" s="296"/>
      <c r="AY177" s="296"/>
      <c r="AZ177" s="296">
        <v>4706</v>
      </c>
      <c r="BA177" s="296">
        <v>1271</v>
      </c>
      <c r="BB177" s="296">
        <v>5977</v>
      </c>
      <c r="BC177" s="499">
        <f t="shared" si="59"/>
        <v>0</v>
      </c>
      <c r="BD177" s="499">
        <f t="shared" si="59"/>
        <v>0</v>
      </c>
      <c r="BE177" s="499">
        <f t="shared" si="59"/>
        <v>0</v>
      </c>
      <c r="BF177" s="296">
        <v>4706</v>
      </c>
      <c r="BG177" s="296">
        <v>1271</v>
      </c>
      <c r="BH177" s="296">
        <v>5977</v>
      </c>
      <c r="BI177" s="723"/>
      <c r="BJ177" s="723"/>
      <c r="BK177" s="723"/>
      <c r="BL177" s="723"/>
      <c r="BM177" s="723"/>
      <c r="BN177" s="723"/>
      <c r="BO177" s="723"/>
      <c r="BP177" s="725"/>
      <c r="BQ177" s="723"/>
      <c r="BR177" s="723"/>
      <c r="BS177" s="723"/>
      <c r="BT177" s="723"/>
      <c r="BU177" s="723"/>
      <c r="BV177" s="723"/>
      <c r="BW177" s="723"/>
      <c r="BX177" s="723"/>
      <c r="BY177" s="725"/>
      <c r="BZ177" s="723"/>
      <c r="CA177" s="723"/>
      <c r="CB177" s="516">
        <v>4706532</v>
      </c>
      <c r="CC177" s="297">
        <v>5977</v>
      </c>
      <c r="CD177" s="723"/>
    </row>
    <row r="178" spans="1:82" x14ac:dyDescent="0.2">
      <c r="A178" s="703"/>
      <c r="B178" s="292" t="s">
        <v>1381</v>
      </c>
      <c r="C178" s="293" t="s">
        <v>779</v>
      </c>
      <c r="D178" s="314"/>
      <c r="E178" s="512" t="s">
        <v>766</v>
      </c>
      <c r="F178" s="294" t="s">
        <v>768</v>
      </c>
      <c r="G178" s="296"/>
      <c r="H178" s="296"/>
      <c r="I178" s="296"/>
      <c r="J178" s="296"/>
      <c r="K178" s="296"/>
      <c r="L178" s="296"/>
      <c r="M178" s="296"/>
      <c r="N178" s="296"/>
      <c r="O178" s="296"/>
      <c r="P178" s="296"/>
      <c r="Q178" s="296"/>
      <c r="R178" s="296"/>
      <c r="S178" s="296"/>
      <c r="T178" s="296"/>
      <c r="U178" s="296"/>
      <c r="V178" s="296"/>
      <c r="W178" s="296"/>
      <c r="X178" s="296"/>
      <c r="Y178" s="296"/>
      <c r="Z178" s="296"/>
      <c r="AA178" s="296"/>
      <c r="AB178" s="296"/>
      <c r="AC178" s="296"/>
      <c r="AD178" s="296"/>
      <c r="AE178" s="296"/>
      <c r="AF178" s="296"/>
      <c r="AG178" s="296"/>
      <c r="AH178" s="299"/>
      <c r="AI178" s="296"/>
      <c r="AJ178" s="299"/>
      <c r="AK178" s="296">
        <f t="shared" si="55"/>
        <v>2413</v>
      </c>
      <c r="AL178" s="296">
        <f t="shared" si="55"/>
        <v>652</v>
      </c>
      <c r="AM178" s="296">
        <f t="shared" si="55"/>
        <v>3065</v>
      </c>
      <c r="AN178" s="296">
        <v>2413</v>
      </c>
      <c r="AO178" s="296">
        <v>652</v>
      </c>
      <c r="AP178" s="296">
        <f t="shared" si="56"/>
        <v>3065</v>
      </c>
      <c r="AQ178" s="296">
        <f t="shared" si="57"/>
        <v>0</v>
      </c>
      <c r="AR178" s="296">
        <f t="shared" si="57"/>
        <v>0</v>
      </c>
      <c r="AS178" s="296">
        <f t="shared" si="57"/>
        <v>0</v>
      </c>
      <c r="AT178" s="296">
        <v>2413</v>
      </c>
      <c r="AU178" s="296">
        <v>652</v>
      </c>
      <c r="AV178" s="296">
        <f t="shared" si="58"/>
        <v>3065</v>
      </c>
      <c r="AW178" s="296"/>
      <c r="AX178" s="296"/>
      <c r="AY178" s="296"/>
      <c r="AZ178" s="296">
        <v>2413</v>
      </c>
      <c r="BA178" s="296">
        <v>652</v>
      </c>
      <c r="BB178" s="296">
        <v>3065</v>
      </c>
      <c r="BC178" s="499">
        <f t="shared" si="59"/>
        <v>0</v>
      </c>
      <c r="BD178" s="499">
        <f t="shared" si="59"/>
        <v>0</v>
      </c>
      <c r="BE178" s="499">
        <f t="shared" si="59"/>
        <v>0</v>
      </c>
      <c r="BF178" s="296">
        <v>2413</v>
      </c>
      <c r="BG178" s="296">
        <v>652</v>
      </c>
      <c r="BH178" s="296">
        <v>3065</v>
      </c>
      <c r="BI178" s="723"/>
      <c r="BJ178" s="723"/>
      <c r="BK178" s="723"/>
      <c r="BL178" s="723"/>
      <c r="BM178" s="723"/>
      <c r="BN178" s="723"/>
      <c r="BO178" s="723"/>
      <c r="BP178" s="725"/>
      <c r="BQ178" s="723"/>
      <c r="BR178" s="723"/>
      <c r="BS178" s="723"/>
      <c r="BT178" s="723"/>
      <c r="BU178" s="723"/>
      <c r="BV178" s="723"/>
      <c r="BW178" s="723"/>
      <c r="BX178" s="723"/>
      <c r="BY178" s="725"/>
      <c r="BZ178" s="723"/>
      <c r="CA178" s="723"/>
      <c r="CB178" s="516">
        <v>2413173.2283464568</v>
      </c>
      <c r="CC178" s="297">
        <v>3065</v>
      </c>
      <c r="CD178" s="723"/>
    </row>
    <row r="179" spans="1:82" x14ac:dyDescent="0.2">
      <c r="A179" s="703"/>
      <c r="B179" s="292" t="s">
        <v>1381</v>
      </c>
      <c r="C179" s="293" t="s">
        <v>780</v>
      </c>
      <c r="D179" s="314"/>
      <c r="E179" s="512" t="s">
        <v>766</v>
      </c>
      <c r="F179" s="294" t="s">
        <v>768</v>
      </c>
      <c r="G179" s="296"/>
      <c r="H179" s="296"/>
      <c r="I179" s="296"/>
      <c r="J179" s="296"/>
      <c r="K179" s="296"/>
      <c r="L179" s="296"/>
      <c r="M179" s="296"/>
      <c r="N179" s="296"/>
      <c r="O179" s="296"/>
      <c r="P179" s="296"/>
      <c r="Q179" s="296"/>
      <c r="R179" s="296"/>
      <c r="S179" s="296"/>
      <c r="T179" s="296"/>
      <c r="U179" s="296"/>
      <c r="V179" s="296"/>
      <c r="W179" s="296"/>
      <c r="X179" s="296"/>
      <c r="Y179" s="296"/>
      <c r="Z179" s="296"/>
      <c r="AA179" s="296"/>
      <c r="AB179" s="296"/>
      <c r="AC179" s="296"/>
      <c r="AD179" s="296"/>
      <c r="AE179" s="296"/>
      <c r="AF179" s="296"/>
      <c r="AG179" s="296"/>
      <c r="AH179" s="299"/>
      <c r="AI179" s="296"/>
      <c r="AJ179" s="299"/>
      <c r="AK179" s="296">
        <f t="shared" si="55"/>
        <v>3357</v>
      </c>
      <c r="AL179" s="296">
        <f t="shared" si="55"/>
        <v>906</v>
      </c>
      <c r="AM179" s="296">
        <f t="shared" si="55"/>
        <v>4263</v>
      </c>
      <c r="AN179" s="296">
        <v>3357</v>
      </c>
      <c r="AO179" s="296">
        <v>906</v>
      </c>
      <c r="AP179" s="296">
        <f t="shared" si="56"/>
        <v>4263</v>
      </c>
      <c r="AQ179" s="296">
        <f t="shared" si="57"/>
        <v>0</v>
      </c>
      <c r="AR179" s="296">
        <f t="shared" si="57"/>
        <v>0</v>
      </c>
      <c r="AS179" s="296">
        <f t="shared" si="57"/>
        <v>0</v>
      </c>
      <c r="AT179" s="296">
        <v>3357</v>
      </c>
      <c r="AU179" s="296">
        <v>906</v>
      </c>
      <c r="AV179" s="296">
        <f t="shared" si="58"/>
        <v>4263</v>
      </c>
      <c r="AW179" s="296"/>
      <c r="AX179" s="296"/>
      <c r="AY179" s="296"/>
      <c r="AZ179" s="296">
        <v>3357</v>
      </c>
      <c r="BA179" s="296">
        <v>906</v>
      </c>
      <c r="BB179" s="296">
        <v>4263</v>
      </c>
      <c r="BC179" s="499">
        <f t="shared" si="59"/>
        <v>0</v>
      </c>
      <c r="BD179" s="499">
        <f t="shared" si="59"/>
        <v>0</v>
      </c>
      <c r="BE179" s="499">
        <f t="shared" si="59"/>
        <v>0</v>
      </c>
      <c r="BF179" s="296">
        <v>3357</v>
      </c>
      <c r="BG179" s="296">
        <v>906</v>
      </c>
      <c r="BH179" s="296">
        <v>4263</v>
      </c>
      <c r="BI179" s="723"/>
      <c r="BJ179" s="723"/>
      <c r="BK179" s="723"/>
      <c r="BL179" s="723"/>
      <c r="BM179" s="723"/>
      <c r="BN179" s="723"/>
      <c r="BO179" s="723"/>
      <c r="BP179" s="725"/>
      <c r="BQ179" s="723"/>
      <c r="BR179" s="723"/>
      <c r="BS179" s="723"/>
      <c r="BT179" s="723"/>
      <c r="BU179" s="723"/>
      <c r="BV179" s="723"/>
      <c r="BW179" s="723"/>
      <c r="BX179" s="723"/>
      <c r="BY179" s="725"/>
      <c r="BZ179" s="723"/>
      <c r="CA179" s="723"/>
      <c r="CB179" s="516">
        <v>3356936.2204724411</v>
      </c>
      <c r="CC179" s="297">
        <v>4263</v>
      </c>
      <c r="CD179" s="723"/>
    </row>
    <row r="180" spans="1:82" x14ac:dyDescent="0.2">
      <c r="A180" s="703"/>
      <c r="B180" s="292" t="s">
        <v>1381</v>
      </c>
      <c r="C180" s="293" t="s">
        <v>781</v>
      </c>
      <c r="D180" s="314"/>
      <c r="E180" s="512" t="s">
        <v>766</v>
      </c>
      <c r="F180" s="294" t="s">
        <v>768</v>
      </c>
      <c r="G180" s="294"/>
      <c r="H180" s="294"/>
      <c r="I180" s="332"/>
      <c r="J180" s="332"/>
      <c r="K180" s="332"/>
      <c r="L180" s="332"/>
      <c r="M180" s="296"/>
      <c r="N180" s="296"/>
      <c r="O180" s="296"/>
      <c r="P180" s="296"/>
      <c r="Q180" s="296"/>
      <c r="R180" s="296"/>
      <c r="S180" s="296"/>
      <c r="T180" s="296"/>
      <c r="U180" s="296"/>
      <c r="V180" s="296"/>
      <c r="W180" s="296"/>
      <c r="X180" s="296"/>
      <c r="Y180" s="296"/>
      <c r="Z180" s="296"/>
      <c r="AA180" s="296"/>
      <c r="AB180" s="296"/>
      <c r="AC180" s="296"/>
      <c r="AD180" s="296"/>
      <c r="AE180" s="296"/>
      <c r="AF180" s="296"/>
      <c r="AG180" s="296"/>
      <c r="AH180" s="299"/>
      <c r="AI180" s="296"/>
      <c r="AJ180" s="299"/>
      <c r="AK180" s="296">
        <f t="shared" si="55"/>
        <v>3104</v>
      </c>
      <c r="AL180" s="296">
        <f t="shared" si="55"/>
        <v>838</v>
      </c>
      <c r="AM180" s="296">
        <f t="shared" si="55"/>
        <v>3942</v>
      </c>
      <c r="AN180" s="296">
        <v>3104</v>
      </c>
      <c r="AO180" s="296">
        <v>838</v>
      </c>
      <c r="AP180" s="296">
        <f t="shared" si="56"/>
        <v>3942</v>
      </c>
      <c r="AQ180" s="296">
        <f t="shared" si="57"/>
        <v>0</v>
      </c>
      <c r="AR180" s="296">
        <f t="shared" si="57"/>
        <v>0</v>
      </c>
      <c r="AS180" s="296">
        <f t="shared" si="57"/>
        <v>0</v>
      </c>
      <c r="AT180" s="296">
        <v>3104</v>
      </c>
      <c r="AU180" s="296">
        <v>838</v>
      </c>
      <c r="AV180" s="296">
        <f t="shared" si="58"/>
        <v>3942</v>
      </c>
      <c r="AW180" s="296"/>
      <c r="AX180" s="296"/>
      <c r="AY180" s="296"/>
      <c r="AZ180" s="296">
        <v>3104</v>
      </c>
      <c r="BA180" s="296">
        <v>838</v>
      </c>
      <c r="BB180" s="296">
        <v>3942</v>
      </c>
      <c r="BC180" s="499">
        <f t="shared" si="59"/>
        <v>0</v>
      </c>
      <c r="BD180" s="499">
        <f t="shared" si="59"/>
        <v>0</v>
      </c>
      <c r="BE180" s="499">
        <f t="shared" si="59"/>
        <v>0</v>
      </c>
      <c r="BF180" s="296">
        <v>3104</v>
      </c>
      <c r="BG180" s="296">
        <v>838</v>
      </c>
      <c r="BH180" s="296">
        <v>3942</v>
      </c>
      <c r="BI180" s="723"/>
      <c r="BJ180" s="723"/>
      <c r="BK180" s="723"/>
      <c r="BL180" s="723"/>
      <c r="BM180" s="723"/>
      <c r="BN180" s="723"/>
      <c r="BO180" s="723"/>
      <c r="BP180" s="725"/>
      <c r="BQ180" s="723"/>
      <c r="BR180" s="723"/>
      <c r="BS180" s="723"/>
      <c r="BT180" s="723"/>
      <c r="BU180" s="723"/>
      <c r="BV180" s="723"/>
      <c r="BW180" s="723"/>
      <c r="BX180" s="723"/>
      <c r="BY180" s="725"/>
      <c r="BZ180" s="723"/>
      <c r="CA180" s="723"/>
      <c r="CB180" s="516">
        <v>3103924</v>
      </c>
      <c r="CC180" s="297">
        <v>3942</v>
      </c>
      <c r="CD180" s="723"/>
    </row>
    <row r="181" spans="1:82" x14ac:dyDescent="0.2">
      <c r="A181" s="703"/>
      <c r="B181" s="292" t="s">
        <v>1381</v>
      </c>
      <c r="C181" s="293" t="s">
        <v>782</v>
      </c>
      <c r="D181" s="314"/>
      <c r="E181" s="512" t="s">
        <v>766</v>
      </c>
      <c r="F181" s="294" t="s">
        <v>768</v>
      </c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6"/>
      <c r="W181" s="296"/>
      <c r="X181" s="296"/>
      <c r="Y181" s="296"/>
      <c r="Z181" s="296"/>
      <c r="AA181" s="296"/>
      <c r="AB181" s="296"/>
      <c r="AC181" s="296"/>
      <c r="AD181" s="296"/>
      <c r="AE181" s="296"/>
      <c r="AF181" s="296"/>
      <c r="AG181" s="296"/>
      <c r="AH181" s="299"/>
      <c r="AI181" s="296"/>
      <c r="AJ181" s="299"/>
      <c r="AK181" s="296">
        <f t="shared" si="55"/>
        <v>5933</v>
      </c>
      <c r="AL181" s="296">
        <f t="shared" si="55"/>
        <v>1602</v>
      </c>
      <c r="AM181" s="296">
        <f t="shared" si="55"/>
        <v>7535</v>
      </c>
      <c r="AN181" s="296">
        <v>5933</v>
      </c>
      <c r="AO181" s="296">
        <v>1602</v>
      </c>
      <c r="AP181" s="296">
        <f t="shared" si="56"/>
        <v>7535</v>
      </c>
      <c r="AQ181" s="296">
        <f t="shared" si="57"/>
        <v>0</v>
      </c>
      <c r="AR181" s="296">
        <f t="shared" si="57"/>
        <v>0</v>
      </c>
      <c r="AS181" s="296">
        <f t="shared" si="57"/>
        <v>0</v>
      </c>
      <c r="AT181" s="296">
        <v>5933</v>
      </c>
      <c r="AU181" s="296">
        <v>1602</v>
      </c>
      <c r="AV181" s="296">
        <f t="shared" si="58"/>
        <v>7535</v>
      </c>
      <c r="AW181" s="296"/>
      <c r="AX181" s="296"/>
      <c r="AY181" s="296"/>
      <c r="AZ181" s="296">
        <v>5933</v>
      </c>
      <c r="BA181" s="296">
        <v>1602</v>
      </c>
      <c r="BB181" s="296">
        <v>7535</v>
      </c>
      <c r="BC181" s="499">
        <f t="shared" si="59"/>
        <v>0</v>
      </c>
      <c r="BD181" s="499">
        <f t="shared" si="59"/>
        <v>0</v>
      </c>
      <c r="BE181" s="499">
        <f t="shared" si="59"/>
        <v>0</v>
      </c>
      <c r="BF181" s="296">
        <v>5933</v>
      </c>
      <c r="BG181" s="296">
        <v>1602</v>
      </c>
      <c r="BH181" s="296">
        <v>7535</v>
      </c>
      <c r="BI181" s="723"/>
      <c r="BJ181" s="723"/>
      <c r="BK181" s="723"/>
      <c r="BL181" s="723"/>
      <c r="BM181" s="723"/>
      <c r="BN181" s="723"/>
      <c r="BO181" s="723"/>
      <c r="BP181" s="725"/>
      <c r="BQ181" s="723"/>
      <c r="BR181" s="723"/>
      <c r="BS181" s="723"/>
      <c r="BT181" s="723"/>
      <c r="BU181" s="723"/>
      <c r="BV181" s="723"/>
      <c r="BW181" s="723"/>
      <c r="BX181" s="723"/>
      <c r="BY181" s="725"/>
      <c r="BZ181" s="723"/>
      <c r="CA181" s="723"/>
      <c r="CB181" s="516">
        <v>5933439</v>
      </c>
      <c r="CC181" s="297">
        <v>7535</v>
      </c>
      <c r="CD181" s="723"/>
    </row>
    <row r="182" spans="1:82" x14ac:dyDescent="0.2">
      <c r="A182" s="703"/>
      <c r="B182" s="292" t="s">
        <v>1381</v>
      </c>
      <c r="C182" s="293" t="s">
        <v>783</v>
      </c>
      <c r="D182" s="314"/>
      <c r="E182" s="512" t="s">
        <v>766</v>
      </c>
      <c r="F182" s="294" t="s">
        <v>768</v>
      </c>
      <c r="G182" s="296"/>
      <c r="H182" s="296"/>
      <c r="I182" s="296"/>
      <c r="J182" s="296"/>
      <c r="K182" s="296"/>
      <c r="L182" s="296"/>
      <c r="M182" s="296"/>
      <c r="N182" s="296"/>
      <c r="O182" s="296"/>
      <c r="P182" s="296"/>
      <c r="Q182" s="296"/>
      <c r="R182" s="296"/>
      <c r="S182" s="296"/>
      <c r="T182" s="296"/>
      <c r="U182" s="296"/>
      <c r="V182" s="296"/>
      <c r="W182" s="296"/>
      <c r="X182" s="296"/>
      <c r="Y182" s="296"/>
      <c r="Z182" s="296"/>
      <c r="AA182" s="296"/>
      <c r="AB182" s="296"/>
      <c r="AC182" s="296"/>
      <c r="AD182" s="296"/>
      <c r="AE182" s="296"/>
      <c r="AF182" s="296"/>
      <c r="AG182" s="296"/>
      <c r="AH182" s="299"/>
      <c r="AI182" s="296"/>
      <c r="AJ182" s="299"/>
      <c r="AK182" s="296">
        <f t="shared" si="55"/>
        <v>6294</v>
      </c>
      <c r="AL182" s="296">
        <f t="shared" si="55"/>
        <v>1699</v>
      </c>
      <c r="AM182" s="296">
        <f t="shared" si="55"/>
        <v>7993</v>
      </c>
      <c r="AN182" s="296">
        <v>6294</v>
      </c>
      <c r="AO182" s="296">
        <v>1699</v>
      </c>
      <c r="AP182" s="296">
        <f t="shared" si="56"/>
        <v>7993</v>
      </c>
      <c r="AQ182" s="296">
        <f t="shared" si="57"/>
        <v>0</v>
      </c>
      <c r="AR182" s="296">
        <f t="shared" si="57"/>
        <v>0</v>
      </c>
      <c r="AS182" s="296">
        <f t="shared" si="57"/>
        <v>0</v>
      </c>
      <c r="AT182" s="296">
        <v>6294</v>
      </c>
      <c r="AU182" s="296">
        <v>1699</v>
      </c>
      <c r="AV182" s="296">
        <f t="shared" si="58"/>
        <v>7993</v>
      </c>
      <c r="AW182" s="296"/>
      <c r="AX182" s="296"/>
      <c r="AY182" s="296"/>
      <c r="AZ182" s="296">
        <v>6294</v>
      </c>
      <c r="BA182" s="296">
        <v>1699</v>
      </c>
      <c r="BB182" s="296">
        <v>7993</v>
      </c>
      <c r="BC182" s="499">
        <f t="shared" si="59"/>
        <v>0</v>
      </c>
      <c r="BD182" s="499">
        <f t="shared" si="59"/>
        <v>0</v>
      </c>
      <c r="BE182" s="499">
        <f t="shared" si="59"/>
        <v>0</v>
      </c>
      <c r="BF182" s="296">
        <v>6294</v>
      </c>
      <c r="BG182" s="296">
        <v>1699</v>
      </c>
      <c r="BH182" s="296">
        <v>7993</v>
      </c>
      <c r="BI182" s="723"/>
      <c r="BJ182" s="723"/>
      <c r="BK182" s="723"/>
      <c r="BL182" s="723"/>
      <c r="BM182" s="723"/>
      <c r="BN182" s="723"/>
      <c r="BO182" s="723"/>
      <c r="BP182" s="725"/>
      <c r="BQ182" s="723"/>
      <c r="BR182" s="723"/>
      <c r="BS182" s="723"/>
      <c r="BT182" s="723"/>
      <c r="BU182" s="723"/>
      <c r="BV182" s="723"/>
      <c r="BW182" s="723"/>
      <c r="BX182" s="723"/>
      <c r="BY182" s="725"/>
      <c r="BZ182" s="723"/>
      <c r="CA182" s="723"/>
      <c r="CB182" s="516">
        <v>6293761</v>
      </c>
      <c r="CC182" s="297">
        <v>7993</v>
      </c>
      <c r="CD182" s="723"/>
    </row>
    <row r="183" spans="1:82" x14ac:dyDescent="0.2">
      <c r="A183" s="703"/>
      <c r="B183" s="292" t="s">
        <v>1381</v>
      </c>
      <c r="C183" s="293" t="s">
        <v>1204</v>
      </c>
      <c r="D183" s="512"/>
      <c r="E183" s="512" t="s">
        <v>1205</v>
      </c>
      <c r="F183" s="294" t="s">
        <v>768</v>
      </c>
      <c r="G183" s="296"/>
      <c r="H183" s="296"/>
      <c r="I183" s="296"/>
      <c r="J183" s="296"/>
      <c r="K183" s="296"/>
      <c r="L183" s="296"/>
      <c r="M183" s="296"/>
      <c r="N183" s="296"/>
      <c r="O183" s="296"/>
      <c r="P183" s="296"/>
      <c r="Q183" s="296"/>
      <c r="R183" s="296"/>
      <c r="S183" s="296"/>
      <c r="T183" s="296"/>
      <c r="U183" s="296"/>
      <c r="V183" s="296"/>
      <c r="W183" s="296"/>
      <c r="X183" s="296"/>
      <c r="Y183" s="296"/>
      <c r="Z183" s="296"/>
      <c r="AA183" s="296"/>
      <c r="AB183" s="296"/>
      <c r="AC183" s="296"/>
      <c r="AD183" s="296"/>
      <c r="AE183" s="296"/>
      <c r="AF183" s="296"/>
      <c r="AG183" s="296"/>
      <c r="AH183" s="299"/>
      <c r="AI183" s="296"/>
      <c r="AJ183" s="299"/>
      <c r="AK183" s="296"/>
      <c r="AL183" s="296"/>
      <c r="AM183" s="296"/>
      <c r="AN183" s="296"/>
      <c r="AO183" s="296"/>
      <c r="AP183" s="296"/>
      <c r="AQ183" s="296">
        <f t="shared" si="57"/>
        <v>50000</v>
      </c>
      <c r="AR183" s="296">
        <f t="shared" si="57"/>
        <v>13500</v>
      </c>
      <c r="AS183" s="296">
        <f t="shared" si="57"/>
        <v>63500</v>
      </c>
      <c r="AT183" s="296">
        <v>50000</v>
      </c>
      <c r="AU183" s="296">
        <v>13500</v>
      </c>
      <c r="AV183" s="296">
        <f>SUM(AT183:AU183)</f>
        <v>63500</v>
      </c>
      <c r="AW183" s="296"/>
      <c r="AX183" s="296"/>
      <c r="AY183" s="296"/>
      <c r="AZ183" s="296">
        <v>50000</v>
      </c>
      <c r="BA183" s="296">
        <v>13500</v>
      </c>
      <c r="BB183" s="296">
        <v>63500</v>
      </c>
      <c r="BC183" s="499">
        <f t="shared" si="59"/>
        <v>-29808</v>
      </c>
      <c r="BD183" s="499">
        <f t="shared" si="59"/>
        <v>-8049</v>
      </c>
      <c r="BE183" s="499">
        <f t="shared" si="59"/>
        <v>-37857</v>
      </c>
      <c r="BF183" s="296">
        <v>20192</v>
      </c>
      <c r="BG183" s="296">
        <v>5451</v>
      </c>
      <c r="BH183" s="296">
        <f>SUM(BF183:BG183)</f>
        <v>25643</v>
      </c>
      <c r="BI183" s="723"/>
      <c r="BJ183" s="723"/>
      <c r="BK183" s="723"/>
      <c r="BL183" s="723"/>
      <c r="BM183" s="723"/>
      <c r="BN183" s="723"/>
      <c r="BO183" s="723"/>
      <c r="BP183" s="725"/>
      <c r="BQ183" s="723"/>
      <c r="BR183" s="723"/>
      <c r="BS183" s="723"/>
      <c r="BT183" s="723"/>
      <c r="BU183" s="723"/>
      <c r="BV183" s="723"/>
      <c r="BW183" s="723"/>
      <c r="BX183" s="723"/>
      <c r="BY183" s="725"/>
      <c r="BZ183" s="723"/>
      <c r="CA183" s="723"/>
      <c r="CB183" s="516">
        <v>20192005</v>
      </c>
      <c r="CC183" s="297">
        <v>25644</v>
      </c>
      <c r="CD183" s="723"/>
    </row>
    <row r="184" spans="1:82" x14ac:dyDescent="0.2">
      <c r="A184" s="703"/>
      <c r="B184" s="292" t="s">
        <v>1381</v>
      </c>
      <c r="C184" s="293" t="s">
        <v>1206</v>
      </c>
      <c r="D184" s="512"/>
      <c r="E184" s="512" t="s">
        <v>766</v>
      </c>
      <c r="F184" s="294" t="s">
        <v>774</v>
      </c>
      <c r="G184" s="296"/>
      <c r="H184" s="296"/>
      <c r="I184" s="296"/>
      <c r="J184" s="296"/>
      <c r="K184" s="296"/>
      <c r="L184" s="296"/>
      <c r="M184" s="296"/>
      <c r="N184" s="296"/>
      <c r="O184" s="296"/>
      <c r="P184" s="296"/>
      <c r="Q184" s="296"/>
      <c r="R184" s="296"/>
      <c r="S184" s="296"/>
      <c r="T184" s="296"/>
      <c r="U184" s="296"/>
      <c r="V184" s="296"/>
      <c r="W184" s="296"/>
      <c r="X184" s="296"/>
      <c r="Y184" s="296"/>
      <c r="Z184" s="296"/>
      <c r="AA184" s="296"/>
      <c r="AB184" s="296"/>
      <c r="AC184" s="296"/>
      <c r="AD184" s="296"/>
      <c r="AE184" s="296"/>
      <c r="AF184" s="296"/>
      <c r="AG184" s="296"/>
      <c r="AH184" s="299"/>
      <c r="AI184" s="296"/>
      <c r="AJ184" s="299"/>
      <c r="AK184" s="296"/>
      <c r="AL184" s="296"/>
      <c r="AM184" s="296"/>
      <c r="AN184" s="296"/>
      <c r="AO184" s="296"/>
      <c r="AP184" s="296"/>
      <c r="AQ184" s="296">
        <f t="shared" si="57"/>
        <v>2700</v>
      </c>
      <c r="AR184" s="296">
        <f t="shared" si="57"/>
        <v>729</v>
      </c>
      <c r="AS184" s="296">
        <f t="shared" si="57"/>
        <v>3429</v>
      </c>
      <c r="AT184" s="296">
        <v>2700</v>
      </c>
      <c r="AU184" s="296">
        <v>729</v>
      </c>
      <c r="AV184" s="296">
        <f>SUM(AT184:AU184)</f>
        <v>3429</v>
      </c>
      <c r="AW184" s="296"/>
      <c r="AX184" s="296"/>
      <c r="AY184" s="296"/>
      <c r="AZ184" s="296">
        <v>2700</v>
      </c>
      <c r="BA184" s="296">
        <v>729</v>
      </c>
      <c r="BB184" s="296">
        <v>3429</v>
      </c>
      <c r="BC184" s="499">
        <f t="shared" si="59"/>
        <v>0</v>
      </c>
      <c r="BD184" s="499">
        <f t="shared" si="59"/>
        <v>0</v>
      </c>
      <c r="BE184" s="499">
        <f t="shared" si="59"/>
        <v>0</v>
      </c>
      <c r="BF184" s="296">
        <v>2700</v>
      </c>
      <c r="BG184" s="296">
        <v>729</v>
      </c>
      <c r="BH184" s="296">
        <v>3429</v>
      </c>
      <c r="BI184" s="723"/>
      <c r="BJ184" s="723"/>
      <c r="BK184" s="723"/>
      <c r="BL184" s="723"/>
      <c r="BM184" s="723"/>
      <c r="BN184" s="723"/>
      <c r="BO184" s="723"/>
      <c r="BP184" s="725"/>
      <c r="BQ184" s="723"/>
      <c r="BR184" s="723"/>
      <c r="BS184" s="723"/>
      <c r="BT184" s="723"/>
      <c r="BU184" s="723"/>
      <c r="BV184" s="723"/>
      <c r="BW184" s="723"/>
      <c r="BX184" s="723"/>
      <c r="BY184" s="725"/>
      <c r="BZ184" s="723"/>
      <c r="CA184" s="723"/>
      <c r="CB184" s="516">
        <v>2700000</v>
      </c>
      <c r="CC184" s="297">
        <v>3429</v>
      </c>
      <c r="CD184" s="723"/>
    </row>
    <row r="185" spans="1:82" x14ac:dyDescent="0.2">
      <c r="A185" s="703"/>
      <c r="B185" s="292" t="s">
        <v>1381</v>
      </c>
      <c r="C185" s="293" t="s">
        <v>1207</v>
      </c>
      <c r="D185" s="314"/>
      <c r="E185" s="512" t="s">
        <v>766</v>
      </c>
      <c r="F185" s="294" t="s">
        <v>774</v>
      </c>
      <c r="G185" s="296"/>
      <c r="H185" s="296"/>
      <c r="I185" s="296"/>
      <c r="J185" s="296"/>
      <c r="K185" s="296"/>
      <c r="L185" s="296"/>
      <c r="M185" s="296"/>
      <c r="N185" s="296"/>
      <c r="O185" s="296"/>
      <c r="P185" s="296"/>
      <c r="Q185" s="296"/>
      <c r="R185" s="296"/>
      <c r="S185" s="296"/>
      <c r="T185" s="296"/>
      <c r="U185" s="296"/>
      <c r="V185" s="296"/>
      <c r="W185" s="296"/>
      <c r="X185" s="296"/>
      <c r="Y185" s="296"/>
      <c r="Z185" s="296"/>
      <c r="AA185" s="296"/>
      <c r="AB185" s="296"/>
      <c r="AC185" s="296"/>
      <c r="AD185" s="296"/>
      <c r="AE185" s="296"/>
      <c r="AF185" s="296"/>
      <c r="AG185" s="296"/>
      <c r="AH185" s="299"/>
      <c r="AI185" s="296"/>
      <c r="AJ185" s="299"/>
      <c r="AK185" s="296"/>
      <c r="AL185" s="296"/>
      <c r="AM185" s="296"/>
      <c r="AN185" s="296"/>
      <c r="AO185" s="296"/>
      <c r="AP185" s="296"/>
      <c r="AQ185" s="296">
        <f t="shared" si="57"/>
        <v>5814</v>
      </c>
      <c r="AR185" s="296">
        <f t="shared" si="57"/>
        <v>1570</v>
      </c>
      <c r="AS185" s="296">
        <f t="shared" si="57"/>
        <v>7384</v>
      </c>
      <c r="AT185" s="296">
        <v>5814</v>
      </c>
      <c r="AU185" s="296">
        <v>1570</v>
      </c>
      <c r="AV185" s="296">
        <f>SUM(AT185:AU185)</f>
        <v>7384</v>
      </c>
      <c r="AW185" s="296"/>
      <c r="AX185" s="296"/>
      <c r="AY185" s="296"/>
      <c r="AZ185" s="296">
        <v>5814</v>
      </c>
      <c r="BA185" s="296">
        <v>1570</v>
      </c>
      <c r="BB185" s="296">
        <v>7384</v>
      </c>
      <c r="BC185" s="499">
        <f t="shared" si="59"/>
        <v>0</v>
      </c>
      <c r="BD185" s="499">
        <f t="shared" si="59"/>
        <v>0</v>
      </c>
      <c r="BE185" s="499">
        <f t="shared" si="59"/>
        <v>0</v>
      </c>
      <c r="BF185" s="296">
        <v>5814</v>
      </c>
      <c r="BG185" s="296">
        <v>1570</v>
      </c>
      <c r="BH185" s="296">
        <v>7384</v>
      </c>
      <c r="BI185" s="723"/>
      <c r="BJ185" s="723"/>
      <c r="BK185" s="723"/>
      <c r="BL185" s="723"/>
      <c r="BM185" s="723"/>
      <c r="BN185" s="723"/>
      <c r="BO185" s="723"/>
      <c r="BP185" s="725"/>
      <c r="BQ185" s="723"/>
      <c r="BR185" s="723"/>
      <c r="BS185" s="723"/>
      <c r="BT185" s="723"/>
      <c r="BU185" s="723"/>
      <c r="BV185" s="723"/>
      <c r="BW185" s="723"/>
      <c r="BX185" s="723"/>
      <c r="BY185" s="725"/>
      <c r="BZ185" s="723"/>
      <c r="CA185" s="723"/>
      <c r="CB185" s="516">
        <v>5814105</v>
      </c>
      <c r="CC185" s="297">
        <v>7384</v>
      </c>
      <c r="CD185" s="723"/>
    </row>
    <row r="186" spans="1:82" ht="12" customHeight="1" x14ac:dyDescent="0.2">
      <c r="A186" s="703"/>
      <c r="B186" s="292" t="s">
        <v>1381</v>
      </c>
      <c r="C186" s="293" t="s">
        <v>1468</v>
      </c>
      <c r="D186" s="314"/>
      <c r="E186" s="512" t="s">
        <v>766</v>
      </c>
      <c r="F186" s="294" t="s">
        <v>774</v>
      </c>
      <c r="G186" s="333" t="s">
        <v>774</v>
      </c>
      <c r="H186" s="333" t="s">
        <v>774</v>
      </c>
      <c r="I186" s="299"/>
      <c r="J186" s="299"/>
      <c r="K186" s="299"/>
      <c r="L186" s="299"/>
      <c r="M186" s="299"/>
      <c r="N186" s="299"/>
      <c r="O186" s="299"/>
      <c r="P186" s="299"/>
      <c r="Q186" s="299"/>
      <c r="R186" s="299"/>
      <c r="S186" s="299"/>
      <c r="T186" s="299"/>
      <c r="U186" s="299"/>
      <c r="V186" s="299"/>
      <c r="W186" s="299"/>
      <c r="X186" s="299"/>
      <c r="Y186" s="299"/>
      <c r="Z186" s="299"/>
      <c r="AA186" s="299"/>
      <c r="AB186" s="299"/>
      <c r="AC186" s="299"/>
      <c r="AD186" s="299"/>
      <c r="AE186" s="299"/>
      <c r="AF186" s="299"/>
      <c r="AG186" s="299"/>
      <c r="AH186" s="299"/>
      <c r="AI186" s="299"/>
      <c r="AJ186" s="299"/>
      <c r="AK186" s="296"/>
      <c r="AL186" s="296"/>
      <c r="AM186" s="296"/>
      <c r="AN186" s="296"/>
      <c r="AO186" s="296"/>
      <c r="AP186" s="296"/>
      <c r="AQ186" s="296"/>
      <c r="AR186" s="296"/>
      <c r="AS186" s="296"/>
      <c r="AT186" s="296"/>
      <c r="AU186" s="296"/>
      <c r="AV186" s="296"/>
      <c r="AW186" s="296"/>
      <c r="AX186" s="296"/>
      <c r="AY186" s="296"/>
      <c r="AZ186" s="296"/>
      <c r="BA186" s="296"/>
      <c r="BB186" s="296"/>
      <c r="BC186" s="499">
        <f t="shared" si="59"/>
        <v>5751</v>
      </c>
      <c r="BD186" s="499">
        <f t="shared" si="59"/>
        <v>1554</v>
      </c>
      <c r="BE186" s="499">
        <f t="shared" si="59"/>
        <v>7305</v>
      </c>
      <c r="BF186" s="296">
        <v>5751</v>
      </c>
      <c r="BG186" s="296">
        <v>1554</v>
      </c>
      <c r="BH186" s="296">
        <f>SUM(BF186:BG186)</f>
        <v>7305</v>
      </c>
      <c r="BI186" s="723"/>
      <c r="BJ186" s="723"/>
      <c r="BK186" s="723"/>
      <c r="BL186" s="723"/>
      <c r="BM186" s="723"/>
      <c r="BN186" s="723"/>
      <c r="BO186" s="723"/>
      <c r="BP186" s="725"/>
      <c r="BQ186" s="723"/>
      <c r="BR186" s="723"/>
      <c r="BS186" s="723"/>
      <c r="BT186" s="723"/>
      <c r="BU186" s="723"/>
      <c r="BV186" s="723"/>
      <c r="BW186" s="723"/>
      <c r="BX186" s="723"/>
      <c r="BY186" s="725"/>
      <c r="BZ186" s="723"/>
      <c r="CA186" s="723"/>
      <c r="CB186" s="516">
        <v>5751405</v>
      </c>
      <c r="CC186" s="297">
        <v>7304</v>
      </c>
      <c r="CD186" s="723"/>
    </row>
    <row r="187" spans="1:82" ht="15.75" customHeight="1" x14ac:dyDescent="0.2">
      <c r="A187" s="703"/>
      <c r="B187" s="292" t="s">
        <v>1381</v>
      </c>
      <c r="C187" s="293" t="s">
        <v>1469</v>
      </c>
      <c r="D187" s="314"/>
      <c r="E187" s="512" t="s">
        <v>766</v>
      </c>
      <c r="F187" s="294" t="s">
        <v>1470</v>
      </c>
      <c r="G187" s="333" t="s">
        <v>774</v>
      </c>
      <c r="H187" s="333" t="s">
        <v>774</v>
      </c>
      <c r="I187" s="299"/>
      <c r="J187" s="299"/>
      <c r="K187" s="299"/>
      <c r="L187" s="299"/>
      <c r="M187" s="299"/>
      <c r="N187" s="299"/>
      <c r="O187" s="299"/>
      <c r="P187" s="299"/>
      <c r="Q187" s="299"/>
      <c r="R187" s="299"/>
      <c r="S187" s="299"/>
      <c r="T187" s="299"/>
      <c r="U187" s="299"/>
      <c r="V187" s="299"/>
      <c r="W187" s="299"/>
      <c r="X187" s="299"/>
      <c r="Y187" s="299"/>
      <c r="Z187" s="299"/>
      <c r="AA187" s="299"/>
      <c r="AB187" s="299"/>
      <c r="AC187" s="299"/>
      <c r="AD187" s="299"/>
      <c r="AE187" s="299"/>
      <c r="AF187" s="299"/>
      <c r="AG187" s="299"/>
      <c r="AH187" s="299"/>
      <c r="AI187" s="299"/>
      <c r="AJ187" s="299"/>
      <c r="AK187" s="296"/>
      <c r="AL187" s="296"/>
      <c r="AM187" s="296"/>
      <c r="AN187" s="296"/>
      <c r="AO187" s="296"/>
      <c r="AP187" s="296"/>
      <c r="AQ187" s="296"/>
      <c r="AR187" s="296"/>
      <c r="AS187" s="296"/>
      <c r="AT187" s="296"/>
      <c r="AU187" s="296"/>
      <c r="AV187" s="296"/>
      <c r="AW187" s="296"/>
      <c r="AX187" s="296"/>
      <c r="AY187" s="296"/>
      <c r="AZ187" s="296"/>
      <c r="BA187" s="296"/>
      <c r="BB187" s="296"/>
      <c r="BC187" s="499">
        <f t="shared" si="59"/>
        <v>2771</v>
      </c>
      <c r="BD187" s="499">
        <f t="shared" si="59"/>
        <v>749</v>
      </c>
      <c r="BE187" s="499">
        <f t="shared" si="59"/>
        <v>3520</v>
      </c>
      <c r="BF187" s="296">
        <v>2771</v>
      </c>
      <c r="BG187" s="296">
        <v>749</v>
      </c>
      <c r="BH187" s="296">
        <f>SUM(BF187:BG187)</f>
        <v>3520</v>
      </c>
      <c r="BI187" s="723"/>
      <c r="BJ187" s="723"/>
      <c r="BK187" s="723"/>
      <c r="BL187" s="723"/>
      <c r="BM187" s="723"/>
      <c r="BN187" s="723"/>
      <c r="BO187" s="723"/>
      <c r="BP187" s="725"/>
      <c r="BQ187" s="723"/>
      <c r="BR187" s="723"/>
      <c r="BS187" s="723"/>
      <c r="BT187" s="723"/>
      <c r="BU187" s="723"/>
      <c r="BV187" s="723"/>
      <c r="BW187" s="723"/>
      <c r="BX187" s="723"/>
      <c r="BY187" s="725"/>
      <c r="BZ187" s="723"/>
      <c r="CA187" s="723"/>
      <c r="CB187" s="516">
        <v>2771340</v>
      </c>
      <c r="CC187" s="297">
        <v>3520</v>
      </c>
      <c r="CD187" s="723"/>
    </row>
    <row r="188" spans="1:82" x14ac:dyDescent="0.2">
      <c r="A188" s="703"/>
      <c r="B188" s="292" t="s">
        <v>1381</v>
      </c>
      <c r="C188" s="329" t="s">
        <v>784</v>
      </c>
      <c r="D188" s="314" t="s">
        <v>729</v>
      </c>
      <c r="E188" s="512" t="s">
        <v>766</v>
      </c>
      <c r="F188" s="334" t="s">
        <v>1471</v>
      </c>
      <c r="G188" s="296"/>
      <c r="H188" s="296"/>
      <c r="I188" s="296"/>
      <c r="J188" s="296"/>
      <c r="K188" s="296"/>
      <c r="L188" s="296"/>
      <c r="M188" s="296"/>
      <c r="N188" s="296"/>
      <c r="O188" s="296"/>
      <c r="P188" s="296"/>
      <c r="Q188" s="296"/>
      <c r="R188" s="296"/>
      <c r="S188" s="296"/>
      <c r="T188" s="296"/>
      <c r="U188" s="296"/>
      <c r="V188" s="296"/>
      <c r="W188" s="296"/>
      <c r="X188" s="296"/>
      <c r="Y188" s="296"/>
      <c r="Z188" s="296"/>
      <c r="AA188" s="296"/>
      <c r="AB188" s="296"/>
      <c r="AC188" s="296"/>
      <c r="AD188" s="296"/>
      <c r="AE188" s="296"/>
      <c r="AF188" s="296"/>
      <c r="AG188" s="296"/>
      <c r="AH188" s="299">
        <v>5841</v>
      </c>
      <c r="AI188" s="296">
        <v>1577</v>
      </c>
      <c r="AJ188" s="299">
        <f t="shared" ref="AJ188:AJ204" si="60">SUM(AH188:AI188)</f>
        <v>7418</v>
      </c>
      <c r="AK188" s="296">
        <f t="shared" ref="AK188:AM228" si="61">AN188-AH188</f>
        <v>0</v>
      </c>
      <c r="AL188" s="296">
        <f t="shared" si="61"/>
        <v>0</v>
      </c>
      <c r="AM188" s="296">
        <f t="shared" si="61"/>
        <v>0</v>
      </c>
      <c r="AN188" s="299">
        <v>5841</v>
      </c>
      <c r="AO188" s="296">
        <v>1577</v>
      </c>
      <c r="AP188" s="299">
        <f t="shared" ref="AP188:AP202" si="62">SUM(AN188:AO188)</f>
        <v>7418</v>
      </c>
      <c r="AQ188" s="296">
        <f t="shared" si="57"/>
        <v>0</v>
      </c>
      <c r="AR188" s="296">
        <f t="shared" si="57"/>
        <v>0</v>
      </c>
      <c r="AS188" s="296">
        <f t="shared" si="57"/>
        <v>0</v>
      </c>
      <c r="AT188" s="296">
        <v>5841</v>
      </c>
      <c r="AU188" s="296">
        <v>1577</v>
      </c>
      <c r="AV188" s="296">
        <f t="shared" si="58"/>
        <v>7418</v>
      </c>
      <c r="AW188" s="296"/>
      <c r="AX188" s="296"/>
      <c r="AY188" s="296"/>
      <c r="AZ188" s="296">
        <v>5841</v>
      </c>
      <c r="BA188" s="296">
        <v>1577</v>
      </c>
      <c r="BB188" s="296">
        <v>7418</v>
      </c>
      <c r="BC188" s="499">
        <f t="shared" si="59"/>
        <v>0</v>
      </c>
      <c r="BD188" s="499">
        <f t="shared" si="59"/>
        <v>-1577</v>
      </c>
      <c r="BE188" s="499">
        <f t="shared" si="59"/>
        <v>-1577</v>
      </c>
      <c r="BF188" s="296">
        <v>5841</v>
      </c>
      <c r="BG188" s="296">
        <v>0</v>
      </c>
      <c r="BH188" s="296">
        <f>SUM(BF188:BG188)</f>
        <v>5841</v>
      </c>
      <c r="BI188" s="723"/>
      <c r="BJ188" s="723"/>
      <c r="BK188" s="723"/>
      <c r="BL188" s="723"/>
      <c r="BM188" s="723"/>
      <c r="BN188" s="723"/>
      <c r="BO188" s="723"/>
      <c r="BP188" s="725"/>
      <c r="BQ188" s="723"/>
      <c r="BR188" s="723"/>
      <c r="BS188" s="723"/>
      <c r="BT188" s="723"/>
      <c r="BU188" s="723"/>
      <c r="BV188" s="723"/>
      <c r="BW188" s="723"/>
      <c r="BX188" s="723"/>
      <c r="BY188" s="725"/>
      <c r="BZ188" s="723"/>
      <c r="CA188" s="723"/>
      <c r="CB188" s="516">
        <v>5841360</v>
      </c>
      <c r="CC188" s="297">
        <v>5841</v>
      </c>
      <c r="CD188" s="723"/>
    </row>
    <row r="189" spans="1:82" x14ac:dyDescent="0.2">
      <c r="A189" s="703"/>
      <c r="B189" s="292" t="s">
        <v>1381</v>
      </c>
      <c r="C189" s="329" t="s">
        <v>785</v>
      </c>
      <c r="D189" s="314" t="s">
        <v>729</v>
      </c>
      <c r="E189" s="512" t="s">
        <v>766</v>
      </c>
      <c r="F189" s="334" t="s">
        <v>1472</v>
      </c>
      <c r="G189" s="296"/>
      <c r="H189" s="296"/>
      <c r="I189" s="296"/>
      <c r="J189" s="296"/>
      <c r="K189" s="296"/>
      <c r="L189" s="296"/>
      <c r="M189" s="296"/>
      <c r="N189" s="296"/>
      <c r="O189" s="296"/>
      <c r="P189" s="296"/>
      <c r="Q189" s="296"/>
      <c r="R189" s="296"/>
      <c r="S189" s="296"/>
      <c r="T189" s="296"/>
      <c r="U189" s="296"/>
      <c r="V189" s="296"/>
      <c r="W189" s="296"/>
      <c r="X189" s="296"/>
      <c r="Y189" s="296"/>
      <c r="Z189" s="296"/>
      <c r="AA189" s="296"/>
      <c r="AB189" s="296"/>
      <c r="AC189" s="296"/>
      <c r="AD189" s="296"/>
      <c r="AE189" s="296"/>
      <c r="AF189" s="296"/>
      <c r="AG189" s="296"/>
      <c r="AH189" s="299">
        <v>6703</v>
      </c>
      <c r="AI189" s="296">
        <v>1810</v>
      </c>
      <c r="AJ189" s="299">
        <f t="shared" si="60"/>
        <v>8513</v>
      </c>
      <c r="AK189" s="296">
        <f t="shared" si="61"/>
        <v>0</v>
      </c>
      <c r="AL189" s="296">
        <f t="shared" si="61"/>
        <v>0</v>
      </c>
      <c r="AM189" s="296">
        <f t="shared" si="61"/>
        <v>0</v>
      </c>
      <c r="AN189" s="299">
        <v>6703</v>
      </c>
      <c r="AO189" s="296">
        <v>1810</v>
      </c>
      <c r="AP189" s="299">
        <f t="shared" si="62"/>
        <v>8513</v>
      </c>
      <c r="AQ189" s="296">
        <f t="shared" si="57"/>
        <v>0</v>
      </c>
      <c r="AR189" s="296">
        <f t="shared" si="57"/>
        <v>0</v>
      </c>
      <c r="AS189" s="296">
        <f t="shared" si="57"/>
        <v>0</v>
      </c>
      <c r="AT189" s="296">
        <v>6703</v>
      </c>
      <c r="AU189" s="296">
        <v>1810</v>
      </c>
      <c r="AV189" s="296">
        <f t="shared" si="58"/>
        <v>8513</v>
      </c>
      <c r="AW189" s="296"/>
      <c r="AX189" s="296"/>
      <c r="AY189" s="296"/>
      <c r="AZ189" s="296">
        <v>6703</v>
      </c>
      <c r="BA189" s="296">
        <v>1810</v>
      </c>
      <c r="BB189" s="296">
        <v>8513</v>
      </c>
      <c r="BC189" s="499">
        <f t="shared" si="59"/>
        <v>0</v>
      </c>
      <c r="BD189" s="499">
        <f t="shared" si="59"/>
        <v>-1810</v>
      </c>
      <c r="BE189" s="499">
        <f t="shared" si="59"/>
        <v>-1810</v>
      </c>
      <c r="BF189" s="296">
        <v>6703</v>
      </c>
      <c r="BG189" s="296">
        <v>0</v>
      </c>
      <c r="BH189" s="296">
        <f t="shared" ref="BH189:BH202" si="63">SUM(BF189:BG189)</f>
        <v>6703</v>
      </c>
      <c r="BI189" s="723"/>
      <c r="BJ189" s="723"/>
      <c r="BK189" s="723"/>
      <c r="BL189" s="723"/>
      <c r="BM189" s="723"/>
      <c r="BN189" s="723"/>
      <c r="BO189" s="723"/>
      <c r="BP189" s="725"/>
      <c r="BQ189" s="723"/>
      <c r="BR189" s="723"/>
      <c r="BS189" s="723"/>
      <c r="BT189" s="723"/>
      <c r="BU189" s="723"/>
      <c r="BV189" s="723"/>
      <c r="BW189" s="723"/>
      <c r="BX189" s="723"/>
      <c r="BY189" s="725"/>
      <c r="BZ189" s="723"/>
      <c r="CA189" s="723"/>
      <c r="CB189" s="516">
        <v>6703200</v>
      </c>
      <c r="CC189" s="297">
        <v>6703</v>
      </c>
      <c r="CD189" s="723"/>
    </row>
    <row r="190" spans="1:82" ht="22.5" x14ac:dyDescent="0.2">
      <c r="A190" s="703"/>
      <c r="B190" s="292" t="s">
        <v>1381</v>
      </c>
      <c r="C190" s="329" t="s">
        <v>786</v>
      </c>
      <c r="D190" s="314" t="s">
        <v>729</v>
      </c>
      <c r="E190" s="512" t="s">
        <v>766</v>
      </c>
      <c r="F190" s="334" t="s">
        <v>1473</v>
      </c>
      <c r="G190" s="296"/>
      <c r="H190" s="296"/>
      <c r="I190" s="296"/>
      <c r="J190" s="296"/>
      <c r="K190" s="296"/>
      <c r="L190" s="296"/>
      <c r="M190" s="296"/>
      <c r="N190" s="296"/>
      <c r="O190" s="296"/>
      <c r="P190" s="296"/>
      <c r="Q190" s="296"/>
      <c r="R190" s="296"/>
      <c r="S190" s="296"/>
      <c r="T190" s="296"/>
      <c r="U190" s="296"/>
      <c r="V190" s="296"/>
      <c r="W190" s="296"/>
      <c r="X190" s="296"/>
      <c r="Y190" s="296"/>
      <c r="Z190" s="296"/>
      <c r="AA190" s="296"/>
      <c r="AB190" s="296"/>
      <c r="AC190" s="296"/>
      <c r="AD190" s="296"/>
      <c r="AE190" s="296"/>
      <c r="AF190" s="296"/>
      <c r="AG190" s="296"/>
      <c r="AH190" s="299">
        <v>14070</v>
      </c>
      <c r="AI190" s="296">
        <v>3799</v>
      </c>
      <c r="AJ190" s="299">
        <f t="shared" si="60"/>
        <v>17869</v>
      </c>
      <c r="AK190" s="296">
        <f t="shared" si="61"/>
        <v>0</v>
      </c>
      <c r="AL190" s="296">
        <f t="shared" si="61"/>
        <v>0</v>
      </c>
      <c r="AM190" s="296">
        <f t="shared" si="61"/>
        <v>0</v>
      </c>
      <c r="AN190" s="299">
        <v>14070</v>
      </c>
      <c r="AO190" s="296">
        <v>3799</v>
      </c>
      <c r="AP190" s="299">
        <f t="shared" si="62"/>
        <v>17869</v>
      </c>
      <c r="AQ190" s="296">
        <f t="shared" si="57"/>
        <v>0</v>
      </c>
      <c r="AR190" s="296">
        <f t="shared" si="57"/>
        <v>0</v>
      </c>
      <c r="AS190" s="296">
        <f t="shared" si="57"/>
        <v>0</v>
      </c>
      <c r="AT190" s="296">
        <v>14070</v>
      </c>
      <c r="AU190" s="296">
        <v>3799</v>
      </c>
      <c r="AV190" s="296">
        <f t="shared" si="58"/>
        <v>17869</v>
      </c>
      <c r="AW190" s="296"/>
      <c r="AX190" s="296"/>
      <c r="AY190" s="296"/>
      <c r="AZ190" s="296">
        <v>14070</v>
      </c>
      <c r="BA190" s="296">
        <v>3799</v>
      </c>
      <c r="BB190" s="296">
        <v>17869</v>
      </c>
      <c r="BC190" s="499">
        <f t="shared" si="59"/>
        <v>-7035</v>
      </c>
      <c r="BD190" s="499">
        <f t="shared" si="59"/>
        <v>-3799</v>
      </c>
      <c r="BE190" s="499">
        <f t="shared" si="59"/>
        <v>-10834</v>
      </c>
      <c r="BF190" s="296">
        <v>7035</v>
      </c>
      <c r="BG190" s="296">
        <v>0</v>
      </c>
      <c r="BH190" s="296">
        <f t="shared" si="63"/>
        <v>7035</v>
      </c>
      <c r="BI190" s="723"/>
      <c r="BJ190" s="723"/>
      <c r="BK190" s="723"/>
      <c r="BL190" s="723"/>
      <c r="BM190" s="723"/>
      <c r="BN190" s="723"/>
      <c r="BO190" s="723"/>
      <c r="BP190" s="725"/>
      <c r="BQ190" s="723"/>
      <c r="BR190" s="723"/>
      <c r="BS190" s="723"/>
      <c r="BT190" s="723"/>
      <c r="BU190" s="723"/>
      <c r="BV190" s="723"/>
      <c r="BW190" s="723"/>
      <c r="BX190" s="723"/>
      <c r="BY190" s="725"/>
      <c r="BZ190" s="723"/>
      <c r="CA190" s="723"/>
      <c r="CB190" s="516">
        <v>7034940</v>
      </c>
      <c r="CC190" s="297">
        <v>7035</v>
      </c>
      <c r="CD190" s="723"/>
    </row>
    <row r="191" spans="1:82" x14ac:dyDescent="0.2">
      <c r="A191" s="703"/>
      <c r="B191" s="292" t="s">
        <v>1381</v>
      </c>
      <c r="C191" s="329" t="s">
        <v>787</v>
      </c>
      <c r="D191" s="314" t="s">
        <v>729</v>
      </c>
      <c r="E191" s="512" t="s">
        <v>766</v>
      </c>
      <c r="F191" s="334" t="s">
        <v>1474</v>
      </c>
      <c r="G191" s="296"/>
      <c r="H191" s="296"/>
      <c r="I191" s="296"/>
      <c r="J191" s="296"/>
      <c r="K191" s="296"/>
      <c r="L191" s="296"/>
      <c r="M191" s="296"/>
      <c r="N191" s="296"/>
      <c r="O191" s="296"/>
      <c r="P191" s="296"/>
      <c r="Q191" s="296"/>
      <c r="R191" s="296"/>
      <c r="S191" s="296"/>
      <c r="T191" s="296"/>
      <c r="U191" s="296"/>
      <c r="V191" s="296"/>
      <c r="W191" s="296"/>
      <c r="X191" s="296"/>
      <c r="Y191" s="296"/>
      <c r="Z191" s="296"/>
      <c r="AA191" s="296"/>
      <c r="AB191" s="296"/>
      <c r="AC191" s="296"/>
      <c r="AD191" s="296"/>
      <c r="AE191" s="296"/>
      <c r="AF191" s="296"/>
      <c r="AG191" s="296"/>
      <c r="AH191" s="299">
        <v>7552</v>
      </c>
      <c r="AI191" s="296">
        <v>2039</v>
      </c>
      <c r="AJ191" s="299">
        <f t="shared" si="60"/>
        <v>9591</v>
      </c>
      <c r="AK191" s="296">
        <f t="shared" si="61"/>
        <v>0</v>
      </c>
      <c r="AL191" s="296">
        <f t="shared" si="61"/>
        <v>0</v>
      </c>
      <c r="AM191" s="296">
        <f t="shared" si="61"/>
        <v>0</v>
      </c>
      <c r="AN191" s="299">
        <v>7552</v>
      </c>
      <c r="AO191" s="296">
        <v>2039</v>
      </c>
      <c r="AP191" s="299">
        <f t="shared" si="62"/>
        <v>9591</v>
      </c>
      <c r="AQ191" s="296">
        <f t="shared" si="57"/>
        <v>0</v>
      </c>
      <c r="AR191" s="296">
        <f t="shared" si="57"/>
        <v>0</v>
      </c>
      <c r="AS191" s="296">
        <f t="shared" si="57"/>
        <v>0</v>
      </c>
      <c r="AT191" s="296">
        <v>7552</v>
      </c>
      <c r="AU191" s="296">
        <v>2039</v>
      </c>
      <c r="AV191" s="296">
        <f t="shared" si="58"/>
        <v>9591</v>
      </c>
      <c r="AW191" s="296"/>
      <c r="AX191" s="296"/>
      <c r="AY191" s="296"/>
      <c r="AZ191" s="296">
        <v>7552</v>
      </c>
      <c r="BA191" s="296">
        <v>2039</v>
      </c>
      <c r="BB191" s="296">
        <v>9591</v>
      </c>
      <c r="BC191" s="499">
        <f t="shared" si="59"/>
        <v>0</v>
      </c>
      <c r="BD191" s="499">
        <f t="shared" si="59"/>
        <v>-2039</v>
      </c>
      <c r="BE191" s="499">
        <f t="shared" si="59"/>
        <v>-2039</v>
      </c>
      <c r="BF191" s="296">
        <v>7552</v>
      </c>
      <c r="BG191" s="296">
        <v>0</v>
      </c>
      <c r="BH191" s="296">
        <f t="shared" si="63"/>
        <v>7552</v>
      </c>
      <c r="BI191" s="723"/>
      <c r="BJ191" s="723"/>
      <c r="BK191" s="723"/>
      <c r="BL191" s="723"/>
      <c r="BM191" s="723"/>
      <c r="BN191" s="723"/>
      <c r="BO191" s="723"/>
      <c r="BP191" s="725"/>
      <c r="BQ191" s="723"/>
      <c r="BR191" s="723"/>
      <c r="BS191" s="723"/>
      <c r="BT191" s="723"/>
      <c r="BU191" s="723"/>
      <c r="BV191" s="723"/>
      <c r="BW191" s="723"/>
      <c r="BX191" s="723"/>
      <c r="BY191" s="725"/>
      <c r="BZ191" s="723"/>
      <c r="CA191" s="723"/>
      <c r="CB191" s="516">
        <v>7552140</v>
      </c>
      <c r="CC191" s="297">
        <v>7552</v>
      </c>
      <c r="CD191" s="723"/>
    </row>
    <row r="192" spans="1:82" x14ac:dyDescent="0.2">
      <c r="A192" s="703"/>
      <c r="B192" s="292" t="s">
        <v>1381</v>
      </c>
      <c r="C192" s="329" t="s">
        <v>788</v>
      </c>
      <c r="D192" s="314" t="s">
        <v>729</v>
      </c>
      <c r="E192" s="512" t="s">
        <v>766</v>
      </c>
      <c r="F192" s="334" t="s">
        <v>1475</v>
      </c>
      <c r="G192" s="296"/>
      <c r="H192" s="296"/>
      <c r="I192" s="296"/>
      <c r="J192" s="296"/>
      <c r="K192" s="296"/>
      <c r="L192" s="296"/>
      <c r="M192" s="296"/>
      <c r="N192" s="296"/>
      <c r="O192" s="296"/>
      <c r="P192" s="296"/>
      <c r="Q192" s="296"/>
      <c r="R192" s="296"/>
      <c r="S192" s="296"/>
      <c r="T192" s="296"/>
      <c r="U192" s="296"/>
      <c r="V192" s="296"/>
      <c r="W192" s="296"/>
      <c r="X192" s="296"/>
      <c r="Y192" s="296"/>
      <c r="Z192" s="296"/>
      <c r="AA192" s="296"/>
      <c r="AB192" s="296"/>
      <c r="AC192" s="296"/>
      <c r="AD192" s="296"/>
      <c r="AE192" s="296"/>
      <c r="AF192" s="296"/>
      <c r="AG192" s="296"/>
      <c r="AH192" s="299">
        <v>5594</v>
      </c>
      <c r="AI192" s="296">
        <v>1510</v>
      </c>
      <c r="AJ192" s="299">
        <f t="shared" si="60"/>
        <v>7104</v>
      </c>
      <c r="AK192" s="296">
        <f t="shared" si="61"/>
        <v>0</v>
      </c>
      <c r="AL192" s="296">
        <f t="shared" si="61"/>
        <v>0</v>
      </c>
      <c r="AM192" s="296">
        <f t="shared" si="61"/>
        <v>0</v>
      </c>
      <c r="AN192" s="299">
        <v>5594</v>
      </c>
      <c r="AO192" s="296">
        <v>1510</v>
      </c>
      <c r="AP192" s="299">
        <f t="shared" si="62"/>
        <v>7104</v>
      </c>
      <c r="AQ192" s="296">
        <f t="shared" si="57"/>
        <v>0</v>
      </c>
      <c r="AR192" s="296">
        <f t="shared" si="57"/>
        <v>0</v>
      </c>
      <c r="AS192" s="296">
        <f t="shared" si="57"/>
        <v>0</v>
      </c>
      <c r="AT192" s="296">
        <v>5594</v>
      </c>
      <c r="AU192" s="296">
        <v>1510</v>
      </c>
      <c r="AV192" s="296">
        <f t="shared" si="58"/>
        <v>7104</v>
      </c>
      <c r="AW192" s="296"/>
      <c r="AX192" s="296"/>
      <c r="AY192" s="296"/>
      <c r="AZ192" s="296">
        <v>5594</v>
      </c>
      <c r="BA192" s="296">
        <v>1510</v>
      </c>
      <c r="BB192" s="296">
        <v>7104</v>
      </c>
      <c r="BC192" s="499">
        <f t="shared" si="59"/>
        <v>0</v>
      </c>
      <c r="BD192" s="499">
        <f t="shared" si="59"/>
        <v>-1510</v>
      </c>
      <c r="BE192" s="499">
        <f t="shared" si="59"/>
        <v>-1510</v>
      </c>
      <c r="BF192" s="296">
        <v>5594</v>
      </c>
      <c r="BG192" s="296">
        <v>0</v>
      </c>
      <c r="BH192" s="296">
        <f t="shared" si="63"/>
        <v>5594</v>
      </c>
      <c r="BI192" s="723"/>
      <c r="BJ192" s="723"/>
      <c r="BK192" s="723"/>
      <c r="BL192" s="723"/>
      <c r="BM192" s="723"/>
      <c r="BN192" s="723"/>
      <c r="BO192" s="723"/>
      <c r="BP192" s="725"/>
      <c r="BQ192" s="723"/>
      <c r="BR192" s="723"/>
      <c r="BS192" s="723"/>
      <c r="BT192" s="723"/>
      <c r="BU192" s="723"/>
      <c r="BV192" s="723"/>
      <c r="BW192" s="723"/>
      <c r="BX192" s="723"/>
      <c r="BY192" s="725"/>
      <c r="BZ192" s="723"/>
      <c r="CA192" s="723"/>
      <c r="CB192" s="516">
        <v>5593774</v>
      </c>
      <c r="CC192" s="297">
        <v>5594</v>
      </c>
      <c r="CD192" s="723"/>
    </row>
    <row r="193" spans="1:82" x14ac:dyDescent="0.2">
      <c r="A193" s="703"/>
      <c r="B193" s="292" t="s">
        <v>1381</v>
      </c>
      <c r="C193" s="329" t="s">
        <v>789</v>
      </c>
      <c r="D193" s="314" t="s">
        <v>729</v>
      </c>
      <c r="E193" s="512" t="s">
        <v>766</v>
      </c>
      <c r="F193" s="334" t="s">
        <v>1476</v>
      </c>
      <c r="G193" s="296"/>
      <c r="H193" s="296"/>
      <c r="I193" s="296"/>
      <c r="J193" s="296"/>
      <c r="K193" s="296"/>
      <c r="L193" s="296"/>
      <c r="M193" s="296"/>
      <c r="N193" s="296"/>
      <c r="O193" s="296"/>
      <c r="P193" s="296"/>
      <c r="Q193" s="296"/>
      <c r="R193" s="296"/>
      <c r="S193" s="296"/>
      <c r="T193" s="296"/>
      <c r="U193" s="296"/>
      <c r="V193" s="296"/>
      <c r="W193" s="296"/>
      <c r="X193" s="296"/>
      <c r="Y193" s="296"/>
      <c r="Z193" s="296"/>
      <c r="AA193" s="296"/>
      <c r="AB193" s="296"/>
      <c r="AC193" s="296"/>
      <c r="AD193" s="296"/>
      <c r="AE193" s="296"/>
      <c r="AF193" s="296"/>
      <c r="AG193" s="296"/>
      <c r="AH193" s="299">
        <v>6892</v>
      </c>
      <c r="AI193" s="296">
        <v>1861</v>
      </c>
      <c r="AJ193" s="299">
        <f t="shared" si="60"/>
        <v>8753</v>
      </c>
      <c r="AK193" s="296">
        <f t="shared" si="61"/>
        <v>0</v>
      </c>
      <c r="AL193" s="296">
        <f t="shared" si="61"/>
        <v>0</v>
      </c>
      <c r="AM193" s="296">
        <f t="shared" si="61"/>
        <v>0</v>
      </c>
      <c r="AN193" s="299">
        <v>6892</v>
      </c>
      <c r="AO193" s="296">
        <v>1861</v>
      </c>
      <c r="AP193" s="299">
        <f t="shared" si="62"/>
        <v>8753</v>
      </c>
      <c r="AQ193" s="296">
        <f t="shared" si="57"/>
        <v>0</v>
      </c>
      <c r="AR193" s="296">
        <f t="shared" si="57"/>
        <v>0</v>
      </c>
      <c r="AS193" s="296">
        <f t="shared" si="57"/>
        <v>0</v>
      </c>
      <c r="AT193" s="296">
        <v>6892</v>
      </c>
      <c r="AU193" s="296">
        <v>1861</v>
      </c>
      <c r="AV193" s="296">
        <f t="shared" si="58"/>
        <v>8753</v>
      </c>
      <c r="AW193" s="296"/>
      <c r="AX193" s="296"/>
      <c r="AY193" s="296"/>
      <c r="AZ193" s="296">
        <v>6892</v>
      </c>
      <c r="BA193" s="296">
        <v>1861</v>
      </c>
      <c r="BB193" s="296">
        <v>8753</v>
      </c>
      <c r="BC193" s="499">
        <f t="shared" si="59"/>
        <v>0</v>
      </c>
      <c r="BD193" s="499">
        <f t="shared" si="59"/>
        <v>-1861</v>
      </c>
      <c r="BE193" s="499">
        <f t="shared" si="59"/>
        <v>-1861</v>
      </c>
      <c r="BF193" s="296">
        <v>6892</v>
      </c>
      <c r="BG193" s="296">
        <v>0</v>
      </c>
      <c r="BH193" s="296">
        <f t="shared" si="63"/>
        <v>6892</v>
      </c>
      <c r="BI193" s="723"/>
      <c r="BJ193" s="723"/>
      <c r="BK193" s="723"/>
      <c r="BL193" s="723"/>
      <c r="BM193" s="723"/>
      <c r="BN193" s="723"/>
      <c r="BO193" s="723"/>
      <c r="BP193" s="725"/>
      <c r="BQ193" s="723"/>
      <c r="BR193" s="723"/>
      <c r="BS193" s="723"/>
      <c r="BT193" s="723"/>
      <c r="BU193" s="723"/>
      <c r="BV193" s="723"/>
      <c r="BW193" s="723"/>
      <c r="BX193" s="723"/>
      <c r="BY193" s="725"/>
      <c r="BZ193" s="723"/>
      <c r="CA193" s="723"/>
      <c r="CB193" s="516">
        <v>6891230</v>
      </c>
      <c r="CC193" s="297">
        <v>6891</v>
      </c>
      <c r="CD193" s="723"/>
    </row>
    <row r="194" spans="1:82" x14ac:dyDescent="0.2">
      <c r="A194" s="703"/>
      <c r="B194" s="292" t="s">
        <v>1381</v>
      </c>
      <c r="C194" s="329" t="s">
        <v>790</v>
      </c>
      <c r="D194" s="314" t="s">
        <v>729</v>
      </c>
      <c r="E194" s="512" t="s">
        <v>766</v>
      </c>
      <c r="F194" s="334" t="s">
        <v>1477</v>
      </c>
      <c r="G194" s="296"/>
      <c r="H194" s="296"/>
      <c r="I194" s="296"/>
      <c r="J194" s="296"/>
      <c r="K194" s="296"/>
      <c r="L194" s="296"/>
      <c r="M194" s="296"/>
      <c r="N194" s="296"/>
      <c r="O194" s="296"/>
      <c r="P194" s="296"/>
      <c r="Q194" s="296"/>
      <c r="R194" s="296"/>
      <c r="S194" s="296"/>
      <c r="T194" s="296"/>
      <c r="U194" s="296"/>
      <c r="V194" s="296"/>
      <c r="W194" s="296"/>
      <c r="X194" s="296"/>
      <c r="Y194" s="296"/>
      <c r="Z194" s="296"/>
      <c r="AA194" s="296"/>
      <c r="AB194" s="296"/>
      <c r="AC194" s="296"/>
      <c r="AD194" s="296"/>
      <c r="AE194" s="296"/>
      <c r="AF194" s="296"/>
      <c r="AG194" s="296"/>
      <c r="AH194" s="299">
        <v>10371</v>
      </c>
      <c r="AI194" s="296">
        <v>2800</v>
      </c>
      <c r="AJ194" s="299">
        <f t="shared" si="60"/>
        <v>13171</v>
      </c>
      <c r="AK194" s="296">
        <f t="shared" si="61"/>
        <v>0</v>
      </c>
      <c r="AL194" s="296">
        <f t="shared" si="61"/>
        <v>0</v>
      </c>
      <c r="AM194" s="296">
        <f t="shared" si="61"/>
        <v>0</v>
      </c>
      <c r="AN194" s="299">
        <v>10371</v>
      </c>
      <c r="AO194" s="296">
        <v>2800</v>
      </c>
      <c r="AP194" s="299">
        <f t="shared" si="62"/>
        <v>13171</v>
      </c>
      <c r="AQ194" s="296">
        <f t="shared" si="57"/>
        <v>0</v>
      </c>
      <c r="AR194" s="296">
        <f t="shared" si="57"/>
        <v>0</v>
      </c>
      <c r="AS194" s="296">
        <f t="shared" si="57"/>
        <v>0</v>
      </c>
      <c r="AT194" s="296">
        <v>10371</v>
      </c>
      <c r="AU194" s="296">
        <v>2800</v>
      </c>
      <c r="AV194" s="296">
        <f t="shared" si="58"/>
        <v>13171</v>
      </c>
      <c r="AW194" s="296"/>
      <c r="AX194" s="296"/>
      <c r="AY194" s="296"/>
      <c r="AZ194" s="296">
        <v>10371</v>
      </c>
      <c r="BA194" s="296">
        <v>2800</v>
      </c>
      <c r="BB194" s="296">
        <v>13171</v>
      </c>
      <c r="BC194" s="499">
        <f t="shared" si="59"/>
        <v>0</v>
      </c>
      <c r="BD194" s="499">
        <f t="shared" si="59"/>
        <v>-2800</v>
      </c>
      <c r="BE194" s="499">
        <f t="shared" si="59"/>
        <v>-2800</v>
      </c>
      <c r="BF194" s="296">
        <v>10371</v>
      </c>
      <c r="BG194" s="296">
        <v>0</v>
      </c>
      <c r="BH194" s="296">
        <f t="shared" si="63"/>
        <v>10371</v>
      </c>
      <c r="BI194" s="723"/>
      <c r="BJ194" s="723"/>
      <c r="BK194" s="723"/>
      <c r="BL194" s="723"/>
      <c r="BM194" s="723"/>
      <c r="BN194" s="723"/>
      <c r="BO194" s="723"/>
      <c r="BP194" s="725"/>
      <c r="BQ194" s="723"/>
      <c r="BR194" s="723"/>
      <c r="BS194" s="723"/>
      <c r="BT194" s="723"/>
      <c r="BU194" s="723"/>
      <c r="BV194" s="723"/>
      <c r="BW194" s="723"/>
      <c r="BX194" s="723"/>
      <c r="BY194" s="725"/>
      <c r="BZ194" s="723"/>
      <c r="CA194" s="723"/>
      <c r="CB194" s="516">
        <v>10370960</v>
      </c>
      <c r="CC194" s="297">
        <v>10371</v>
      </c>
      <c r="CD194" s="723"/>
    </row>
    <row r="195" spans="1:82" x14ac:dyDescent="0.2">
      <c r="A195" s="703"/>
      <c r="B195" s="292" t="s">
        <v>1381</v>
      </c>
      <c r="C195" s="329" t="s">
        <v>791</v>
      </c>
      <c r="D195" s="314" t="s">
        <v>729</v>
      </c>
      <c r="E195" s="512" t="s">
        <v>766</v>
      </c>
      <c r="F195" s="334" t="s">
        <v>1478</v>
      </c>
      <c r="G195" s="296"/>
      <c r="H195" s="296"/>
      <c r="I195" s="296"/>
      <c r="J195" s="296"/>
      <c r="K195" s="296"/>
      <c r="L195" s="296"/>
      <c r="M195" s="296"/>
      <c r="N195" s="296"/>
      <c r="O195" s="296"/>
      <c r="P195" s="296"/>
      <c r="Q195" s="296"/>
      <c r="R195" s="296"/>
      <c r="S195" s="296"/>
      <c r="T195" s="296"/>
      <c r="U195" s="296"/>
      <c r="V195" s="296"/>
      <c r="W195" s="296"/>
      <c r="X195" s="296"/>
      <c r="Y195" s="296"/>
      <c r="Z195" s="296"/>
      <c r="AA195" s="296"/>
      <c r="AB195" s="296"/>
      <c r="AC195" s="296"/>
      <c r="AD195" s="296"/>
      <c r="AE195" s="296"/>
      <c r="AF195" s="296"/>
      <c r="AG195" s="296"/>
      <c r="AH195" s="299">
        <v>6755</v>
      </c>
      <c r="AI195" s="296">
        <v>1824</v>
      </c>
      <c r="AJ195" s="299">
        <f t="shared" si="60"/>
        <v>8579</v>
      </c>
      <c r="AK195" s="296">
        <f t="shared" si="61"/>
        <v>0</v>
      </c>
      <c r="AL195" s="296">
        <f t="shared" si="61"/>
        <v>0</v>
      </c>
      <c r="AM195" s="296">
        <f t="shared" si="61"/>
        <v>0</v>
      </c>
      <c r="AN195" s="299">
        <v>6755</v>
      </c>
      <c r="AO195" s="296">
        <v>1824</v>
      </c>
      <c r="AP195" s="299">
        <f t="shared" si="62"/>
        <v>8579</v>
      </c>
      <c r="AQ195" s="296">
        <f t="shared" si="57"/>
        <v>0</v>
      </c>
      <c r="AR195" s="296">
        <f t="shared" si="57"/>
        <v>0</v>
      </c>
      <c r="AS195" s="296">
        <f t="shared" si="57"/>
        <v>0</v>
      </c>
      <c r="AT195" s="296">
        <v>6755</v>
      </c>
      <c r="AU195" s="296">
        <v>1824</v>
      </c>
      <c r="AV195" s="296">
        <f t="shared" si="58"/>
        <v>8579</v>
      </c>
      <c r="AW195" s="296"/>
      <c r="AX195" s="296"/>
      <c r="AY195" s="296"/>
      <c r="AZ195" s="296">
        <v>6755</v>
      </c>
      <c r="BA195" s="296">
        <v>1824</v>
      </c>
      <c r="BB195" s="296">
        <v>8579</v>
      </c>
      <c r="BC195" s="499">
        <f t="shared" si="59"/>
        <v>0</v>
      </c>
      <c r="BD195" s="499">
        <f t="shared" si="59"/>
        <v>-1824</v>
      </c>
      <c r="BE195" s="499">
        <f t="shared" si="59"/>
        <v>-1824</v>
      </c>
      <c r="BF195" s="296">
        <v>6755</v>
      </c>
      <c r="BG195" s="296">
        <v>0</v>
      </c>
      <c r="BH195" s="296">
        <f t="shared" si="63"/>
        <v>6755</v>
      </c>
      <c r="BI195" s="723"/>
      <c r="BJ195" s="723"/>
      <c r="BK195" s="723"/>
      <c r="BL195" s="723"/>
      <c r="BM195" s="723"/>
      <c r="BN195" s="723"/>
      <c r="BO195" s="723"/>
      <c r="BP195" s="725"/>
      <c r="BQ195" s="723"/>
      <c r="BR195" s="723"/>
      <c r="BS195" s="723"/>
      <c r="BT195" s="723"/>
      <c r="BU195" s="723"/>
      <c r="BV195" s="723"/>
      <c r="BW195" s="723"/>
      <c r="BX195" s="723"/>
      <c r="BY195" s="725"/>
      <c r="BZ195" s="723"/>
      <c r="CA195" s="723"/>
      <c r="CB195" s="516">
        <v>6754770</v>
      </c>
      <c r="CC195" s="297">
        <v>6755</v>
      </c>
      <c r="CD195" s="723"/>
    </row>
    <row r="196" spans="1:82" ht="22.5" x14ac:dyDescent="0.2">
      <c r="A196" s="703"/>
      <c r="B196" s="292" t="s">
        <v>1381</v>
      </c>
      <c r="C196" s="329" t="s">
        <v>792</v>
      </c>
      <c r="D196" s="314"/>
      <c r="E196" s="512" t="s">
        <v>766</v>
      </c>
      <c r="F196" s="334" t="s">
        <v>1479</v>
      </c>
      <c r="G196" s="296"/>
      <c r="H196" s="296"/>
      <c r="I196" s="296"/>
      <c r="J196" s="296"/>
      <c r="K196" s="296"/>
      <c r="L196" s="296"/>
      <c r="M196" s="296"/>
      <c r="N196" s="296"/>
      <c r="O196" s="296"/>
      <c r="P196" s="296"/>
      <c r="Q196" s="296"/>
      <c r="R196" s="296"/>
      <c r="S196" s="296"/>
      <c r="T196" s="296"/>
      <c r="U196" s="296"/>
      <c r="V196" s="296"/>
      <c r="W196" s="296"/>
      <c r="X196" s="296"/>
      <c r="Y196" s="296"/>
      <c r="Z196" s="296"/>
      <c r="AA196" s="296"/>
      <c r="AB196" s="296"/>
      <c r="AC196" s="296"/>
      <c r="AD196" s="296"/>
      <c r="AE196" s="296"/>
      <c r="AF196" s="296"/>
      <c r="AG196" s="296"/>
      <c r="AH196" s="299">
        <v>439</v>
      </c>
      <c r="AI196" s="296">
        <v>118</v>
      </c>
      <c r="AJ196" s="299">
        <f t="shared" si="60"/>
        <v>557</v>
      </c>
      <c r="AK196" s="296">
        <f t="shared" si="61"/>
        <v>0</v>
      </c>
      <c r="AL196" s="296">
        <f t="shared" si="61"/>
        <v>0</v>
      </c>
      <c r="AM196" s="296">
        <f t="shared" si="61"/>
        <v>0</v>
      </c>
      <c r="AN196" s="299">
        <v>439</v>
      </c>
      <c r="AO196" s="296">
        <v>118</v>
      </c>
      <c r="AP196" s="299">
        <f t="shared" si="62"/>
        <v>557</v>
      </c>
      <c r="AQ196" s="296">
        <f t="shared" si="57"/>
        <v>0</v>
      </c>
      <c r="AR196" s="296">
        <f t="shared" si="57"/>
        <v>0</v>
      </c>
      <c r="AS196" s="296">
        <f t="shared" si="57"/>
        <v>0</v>
      </c>
      <c r="AT196" s="296">
        <v>439</v>
      </c>
      <c r="AU196" s="296">
        <v>118</v>
      </c>
      <c r="AV196" s="296">
        <f t="shared" si="58"/>
        <v>557</v>
      </c>
      <c r="AW196" s="296"/>
      <c r="AX196" s="296"/>
      <c r="AY196" s="296"/>
      <c r="AZ196" s="296">
        <v>439</v>
      </c>
      <c r="BA196" s="296">
        <v>118</v>
      </c>
      <c r="BB196" s="296">
        <v>557</v>
      </c>
      <c r="BC196" s="499">
        <f t="shared" si="59"/>
        <v>0</v>
      </c>
      <c r="BD196" s="499">
        <f t="shared" si="59"/>
        <v>0</v>
      </c>
      <c r="BE196" s="499">
        <f t="shared" si="59"/>
        <v>0</v>
      </c>
      <c r="BF196" s="296">
        <v>439</v>
      </c>
      <c r="BG196" s="296">
        <v>118</v>
      </c>
      <c r="BH196" s="296">
        <f t="shared" si="63"/>
        <v>557</v>
      </c>
      <c r="BI196" s="723"/>
      <c r="BJ196" s="723"/>
      <c r="BK196" s="723"/>
      <c r="BL196" s="723"/>
      <c r="BM196" s="723"/>
      <c r="BN196" s="723"/>
      <c r="BO196" s="723"/>
      <c r="BP196" s="725"/>
      <c r="BQ196" s="723"/>
      <c r="BR196" s="723"/>
      <c r="BS196" s="723"/>
      <c r="BT196" s="723"/>
      <c r="BU196" s="723"/>
      <c r="BV196" s="723"/>
      <c r="BW196" s="723"/>
      <c r="BX196" s="723"/>
      <c r="BY196" s="725"/>
      <c r="BZ196" s="723"/>
      <c r="CA196" s="723"/>
      <c r="CB196" s="516">
        <v>439074</v>
      </c>
      <c r="CC196" s="297">
        <v>558</v>
      </c>
      <c r="CD196" s="723"/>
    </row>
    <row r="197" spans="1:82" ht="14.25" customHeight="1" x14ac:dyDescent="0.2">
      <c r="A197" s="703"/>
      <c r="B197" s="292" t="s">
        <v>1381</v>
      </c>
      <c r="C197" s="329" t="s">
        <v>793</v>
      </c>
      <c r="D197" s="314"/>
      <c r="E197" s="512" t="s">
        <v>766</v>
      </c>
      <c r="F197" s="334" t="s">
        <v>1480</v>
      </c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6"/>
      <c r="W197" s="296"/>
      <c r="X197" s="296"/>
      <c r="Y197" s="296"/>
      <c r="Z197" s="296"/>
      <c r="AA197" s="296"/>
      <c r="AB197" s="296"/>
      <c r="AC197" s="296"/>
      <c r="AD197" s="296"/>
      <c r="AE197" s="296"/>
      <c r="AF197" s="296"/>
      <c r="AG197" s="296"/>
      <c r="AH197" s="299">
        <v>2639</v>
      </c>
      <c r="AI197" s="296">
        <v>712</v>
      </c>
      <c r="AJ197" s="299">
        <f t="shared" si="60"/>
        <v>3351</v>
      </c>
      <c r="AK197" s="296">
        <f t="shared" si="61"/>
        <v>0</v>
      </c>
      <c r="AL197" s="296">
        <f t="shared" si="61"/>
        <v>0</v>
      </c>
      <c r="AM197" s="296">
        <f t="shared" si="61"/>
        <v>0</v>
      </c>
      <c r="AN197" s="299">
        <v>2639</v>
      </c>
      <c r="AO197" s="296">
        <v>712</v>
      </c>
      <c r="AP197" s="299">
        <f t="shared" si="62"/>
        <v>3351</v>
      </c>
      <c r="AQ197" s="296">
        <f t="shared" si="57"/>
        <v>0</v>
      </c>
      <c r="AR197" s="296">
        <f t="shared" si="57"/>
        <v>0</v>
      </c>
      <c r="AS197" s="296">
        <f t="shared" si="57"/>
        <v>0</v>
      </c>
      <c r="AT197" s="296">
        <v>2639</v>
      </c>
      <c r="AU197" s="296">
        <v>712</v>
      </c>
      <c r="AV197" s="296">
        <f t="shared" si="58"/>
        <v>3351</v>
      </c>
      <c r="AW197" s="296"/>
      <c r="AX197" s="296"/>
      <c r="AY197" s="296"/>
      <c r="AZ197" s="296">
        <v>2639</v>
      </c>
      <c r="BA197" s="296">
        <v>712</v>
      </c>
      <c r="BB197" s="296">
        <v>3351</v>
      </c>
      <c r="BC197" s="499">
        <f t="shared" si="59"/>
        <v>0</v>
      </c>
      <c r="BD197" s="499">
        <f t="shared" si="59"/>
        <v>0</v>
      </c>
      <c r="BE197" s="499">
        <f t="shared" si="59"/>
        <v>0</v>
      </c>
      <c r="BF197" s="296">
        <v>2639</v>
      </c>
      <c r="BG197" s="296">
        <v>712</v>
      </c>
      <c r="BH197" s="296">
        <f t="shared" si="63"/>
        <v>3351</v>
      </c>
      <c r="BI197" s="723"/>
      <c r="BJ197" s="723"/>
      <c r="BK197" s="723"/>
      <c r="BL197" s="723"/>
      <c r="BM197" s="723"/>
      <c r="BN197" s="723"/>
      <c r="BO197" s="723"/>
      <c r="BP197" s="725"/>
      <c r="BQ197" s="723"/>
      <c r="BR197" s="723"/>
      <c r="BS197" s="723"/>
      <c r="BT197" s="723"/>
      <c r="BU197" s="723"/>
      <c r="BV197" s="723"/>
      <c r="BW197" s="723"/>
      <c r="BX197" s="723"/>
      <c r="BY197" s="725"/>
      <c r="BZ197" s="723"/>
      <c r="CA197" s="723"/>
      <c r="CB197" s="516">
        <v>2638565</v>
      </c>
      <c r="CC197" s="297">
        <v>3351</v>
      </c>
      <c r="CD197" s="723"/>
    </row>
    <row r="198" spans="1:82" x14ac:dyDescent="0.2">
      <c r="A198" s="703"/>
      <c r="B198" s="292" t="s">
        <v>1381</v>
      </c>
      <c r="C198" s="329" t="s">
        <v>794</v>
      </c>
      <c r="D198" s="314"/>
      <c r="E198" s="512" t="s">
        <v>766</v>
      </c>
      <c r="F198" s="334" t="s">
        <v>1481</v>
      </c>
      <c r="G198" s="296"/>
      <c r="H198" s="296"/>
      <c r="I198" s="296"/>
      <c r="J198" s="296"/>
      <c r="K198" s="296"/>
      <c r="L198" s="296"/>
      <c r="M198" s="296"/>
      <c r="N198" s="296"/>
      <c r="O198" s="296"/>
      <c r="P198" s="296"/>
      <c r="Q198" s="296"/>
      <c r="R198" s="296"/>
      <c r="S198" s="296"/>
      <c r="T198" s="296"/>
      <c r="U198" s="296"/>
      <c r="V198" s="296"/>
      <c r="W198" s="296"/>
      <c r="X198" s="296"/>
      <c r="Y198" s="296"/>
      <c r="Z198" s="296"/>
      <c r="AA198" s="296"/>
      <c r="AB198" s="296"/>
      <c r="AC198" s="296"/>
      <c r="AD198" s="296"/>
      <c r="AE198" s="296"/>
      <c r="AF198" s="296"/>
      <c r="AG198" s="296"/>
      <c r="AH198" s="299">
        <v>1848</v>
      </c>
      <c r="AI198" s="296">
        <v>499</v>
      </c>
      <c r="AJ198" s="299">
        <f t="shared" si="60"/>
        <v>2347</v>
      </c>
      <c r="AK198" s="296">
        <f t="shared" si="61"/>
        <v>0</v>
      </c>
      <c r="AL198" s="296">
        <f t="shared" si="61"/>
        <v>0</v>
      </c>
      <c r="AM198" s="296">
        <f t="shared" si="61"/>
        <v>0</v>
      </c>
      <c r="AN198" s="299">
        <v>1848</v>
      </c>
      <c r="AO198" s="296">
        <v>499</v>
      </c>
      <c r="AP198" s="299">
        <f t="shared" si="62"/>
        <v>2347</v>
      </c>
      <c r="AQ198" s="296">
        <f t="shared" si="57"/>
        <v>0</v>
      </c>
      <c r="AR198" s="296">
        <f t="shared" si="57"/>
        <v>0</v>
      </c>
      <c r="AS198" s="296">
        <f t="shared" si="57"/>
        <v>0</v>
      </c>
      <c r="AT198" s="296">
        <v>1848</v>
      </c>
      <c r="AU198" s="296">
        <v>499</v>
      </c>
      <c r="AV198" s="296">
        <f t="shared" si="58"/>
        <v>2347</v>
      </c>
      <c r="AW198" s="296"/>
      <c r="AX198" s="296"/>
      <c r="AY198" s="296"/>
      <c r="AZ198" s="296">
        <v>1848</v>
      </c>
      <c r="BA198" s="296">
        <v>499</v>
      </c>
      <c r="BB198" s="296">
        <v>2347</v>
      </c>
      <c r="BC198" s="499">
        <f t="shared" si="59"/>
        <v>0</v>
      </c>
      <c r="BD198" s="499">
        <f t="shared" si="59"/>
        <v>0</v>
      </c>
      <c r="BE198" s="499">
        <f t="shared" si="59"/>
        <v>0</v>
      </c>
      <c r="BF198" s="296">
        <v>1848</v>
      </c>
      <c r="BG198" s="296">
        <v>499</v>
      </c>
      <c r="BH198" s="296">
        <f t="shared" si="63"/>
        <v>2347</v>
      </c>
      <c r="BI198" s="723"/>
      <c r="BJ198" s="723"/>
      <c r="BK198" s="723"/>
      <c r="BL198" s="723"/>
      <c r="BM198" s="723"/>
      <c r="BN198" s="723"/>
      <c r="BO198" s="723"/>
      <c r="BP198" s="725"/>
      <c r="BQ198" s="723"/>
      <c r="BR198" s="723"/>
      <c r="BS198" s="723"/>
      <c r="BT198" s="723"/>
      <c r="BU198" s="723"/>
      <c r="BV198" s="723"/>
      <c r="BW198" s="723"/>
      <c r="BX198" s="723"/>
      <c r="BY198" s="725"/>
      <c r="BZ198" s="723"/>
      <c r="CA198" s="723"/>
      <c r="CB198" s="516">
        <v>1848070</v>
      </c>
      <c r="CC198" s="297">
        <v>2347</v>
      </c>
      <c r="CD198" s="723"/>
    </row>
    <row r="199" spans="1:82" x14ac:dyDescent="0.2">
      <c r="A199" s="703"/>
      <c r="B199" s="292" t="s">
        <v>1381</v>
      </c>
      <c r="C199" s="329" t="s">
        <v>795</v>
      </c>
      <c r="D199" s="314"/>
      <c r="E199" s="512" t="s">
        <v>766</v>
      </c>
      <c r="F199" s="334" t="s">
        <v>1482</v>
      </c>
      <c r="G199" s="296"/>
      <c r="H199" s="296"/>
      <c r="I199" s="296"/>
      <c r="J199" s="296"/>
      <c r="K199" s="296"/>
      <c r="L199" s="296"/>
      <c r="M199" s="296"/>
      <c r="N199" s="296"/>
      <c r="O199" s="296"/>
      <c r="P199" s="296"/>
      <c r="Q199" s="296"/>
      <c r="R199" s="296"/>
      <c r="S199" s="296"/>
      <c r="T199" s="296"/>
      <c r="U199" s="296"/>
      <c r="V199" s="296"/>
      <c r="W199" s="296"/>
      <c r="X199" s="296"/>
      <c r="Y199" s="296"/>
      <c r="Z199" s="296"/>
      <c r="AA199" s="296"/>
      <c r="AB199" s="296"/>
      <c r="AC199" s="296"/>
      <c r="AD199" s="296"/>
      <c r="AE199" s="296"/>
      <c r="AF199" s="296"/>
      <c r="AG199" s="296"/>
      <c r="AH199" s="299">
        <v>14611</v>
      </c>
      <c r="AI199" s="296">
        <v>3945</v>
      </c>
      <c r="AJ199" s="299">
        <f t="shared" si="60"/>
        <v>18556</v>
      </c>
      <c r="AK199" s="296">
        <f t="shared" si="61"/>
        <v>0</v>
      </c>
      <c r="AL199" s="296">
        <f t="shared" si="61"/>
        <v>0</v>
      </c>
      <c r="AM199" s="296">
        <f t="shared" si="61"/>
        <v>0</v>
      </c>
      <c r="AN199" s="299">
        <v>14611</v>
      </c>
      <c r="AO199" s="296">
        <v>3945</v>
      </c>
      <c r="AP199" s="299">
        <f t="shared" si="62"/>
        <v>18556</v>
      </c>
      <c r="AQ199" s="296">
        <f t="shared" si="57"/>
        <v>0</v>
      </c>
      <c r="AR199" s="296">
        <f t="shared" si="57"/>
        <v>0</v>
      </c>
      <c r="AS199" s="296">
        <f t="shared" si="57"/>
        <v>0</v>
      </c>
      <c r="AT199" s="296">
        <v>14611</v>
      </c>
      <c r="AU199" s="296">
        <v>3945</v>
      </c>
      <c r="AV199" s="296">
        <f t="shared" si="58"/>
        <v>18556</v>
      </c>
      <c r="AW199" s="296"/>
      <c r="AX199" s="296"/>
      <c r="AY199" s="296"/>
      <c r="AZ199" s="296">
        <v>14611</v>
      </c>
      <c r="BA199" s="296">
        <v>3945</v>
      </c>
      <c r="BB199" s="296">
        <v>18556</v>
      </c>
      <c r="BC199" s="499">
        <f t="shared" si="59"/>
        <v>0</v>
      </c>
      <c r="BD199" s="499">
        <f t="shared" si="59"/>
        <v>0</v>
      </c>
      <c r="BE199" s="499">
        <f t="shared" si="59"/>
        <v>0</v>
      </c>
      <c r="BF199" s="296">
        <v>14611</v>
      </c>
      <c r="BG199" s="296">
        <v>3945</v>
      </c>
      <c r="BH199" s="296">
        <f t="shared" si="63"/>
        <v>18556</v>
      </c>
      <c r="BI199" s="723"/>
      <c r="BJ199" s="723"/>
      <c r="BK199" s="723"/>
      <c r="BL199" s="723"/>
      <c r="BM199" s="723"/>
      <c r="BN199" s="723"/>
      <c r="BO199" s="723"/>
      <c r="BP199" s="725"/>
      <c r="BQ199" s="723"/>
      <c r="BR199" s="723"/>
      <c r="BS199" s="723"/>
      <c r="BT199" s="723"/>
      <c r="BU199" s="723"/>
      <c r="BV199" s="723"/>
      <c r="BW199" s="723"/>
      <c r="BX199" s="723"/>
      <c r="BY199" s="725"/>
      <c r="BZ199" s="723"/>
      <c r="CA199" s="723"/>
      <c r="CB199" s="516">
        <v>14610750</v>
      </c>
      <c r="CC199" s="297">
        <v>18556</v>
      </c>
      <c r="CD199" s="723"/>
    </row>
    <row r="200" spans="1:82" x14ac:dyDescent="0.2">
      <c r="A200" s="703"/>
      <c r="B200" s="292" t="s">
        <v>1381</v>
      </c>
      <c r="C200" s="329" t="s">
        <v>796</v>
      </c>
      <c r="D200" s="314" t="s">
        <v>729</v>
      </c>
      <c r="E200" s="512" t="s">
        <v>766</v>
      </c>
      <c r="F200" s="334" t="s">
        <v>1483</v>
      </c>
      <c r="G200" s="296"/>
      <c r="H200" s="296"/>
      <c r="I200" s="296"/>
      <c r="J200" s="296"/>
      <c r="K200" s="296"/>
      <c r="L200" s="296"/>
      <c r="M200" s="296"/>
      <c r="N200" s="296"/>
      <c r="O200" s="296"/>
      <c r="P200" s="296"/>
      <c r="Q200" s="296"/>
      <c r="R200" s="296"/>
      <c r="S200" s="296"/>
      <c r="T200" s="296"/>
      <c r="U200" s="296"/>
      <c r="V200" s="296"/>
      <c r="W200" s="296"/>
      <c r="X200" s="296"/>
      <c r="Y200" s="296"/>
      <c r="Z200" s="296"/>
      <c r="AA200" s="296"/>
      <c r="AB200" s="296"/>
      <c r="AC200" s="296"/>
      <c r="AD200" s="296"/>
      <c r="AE200" s="296"/>
      <c r="AF200" s="296"/>
      <c r="AG200" s="296"/>
      <c r="AH200" s="299">
        <v>2148</v>
      </c>
      <c r="AI200" s="296">
        <v>580</v>
      </c>
      <c r="AJ200" s="299">
        <f t="shared" si="60"/>
        <v>2728</v>
      </c>
      <c r="AK200" s="296">
        <f t="shared" si="61"/>
        <v>0</v>
      </c>
      <c r="AL200" s="296">
        <f t="shared" si="61"/>
        <v>0</v>
      </c>
      <c r="AM200" s="296">
        <f t="shared" si="61"/>
        <v>0</v>
      </c>
      <c r="AN200" s="299">
        <v>2148</v>
      </c>
      <c r="AO200" s="296">
        <v>580</v>
      </c>
      <c r="AP200" s="299">
        <f t="shared" si="62"/>
        <v>2728</v>
      </c>
      <c r="AQ200" s="296">
        <f t="shared" si="57"/>
        <v>0</v>
      </c>
      <c r="AR200" s="296">
        <f t="shared" si="57"/>
        <v>0</v>
      </c>
      <c r="AS200" s="296">
        <f t="shared" si="57"/>
        <v>0</v>
      </c>
      <c r="AT200" s="296">
        <v>2148</v>
      </c>
      <c r="AU200" s="296">
        <v>580</v>
      </c>
      <c r="AV200" s="296">
        <f t="shared" si="58"/>
        <v>2728</v>
      </c>
      <c r="AW200" s="296"/>
      <c r="AX200" s="296"/>
      <c r="AY200" s="296"/>
      <c r="AZ200" s="296">
        <v>2148</v>
      </c>
      <c r="BA200" s="296">
        <v>580</v>
      </c>
      <c r="BB200" s="296">
        <v>2728</v>
      </c>
      <c r="BC200" s="499">
        <f t="shared" ref="BC200:BE231" si="64">BF200-AT200</f>
        <v>0</v>
      </c>
      <c r="BD200" s="499">
        <f t="shared" si="64"/>
        <v>-580</v>
      </c>
      <c r="BE200" s="499">
        <f t="shared" si="64"/>
        <v>-580</v>
      </c>
      <c r="BF200" s="296">
        <v>2148</v>
      </c>
      <c r="BG200" s="296">
        <v>0</v>
      </c>
      <c r="BH200" s="296">
        <f t="shared" si="63"/>
        <v>2148</v>
      </c>
      <c r="BI200" s="723"/>
      <c r="BJ200" s="723"/>
      <c r="BK200" s="723"/>
      <c r="BL200" s="723"/>
      <c r="BM200" s="723"/>
      <c r="BN200" s="723"/>
      <c r="BO200" s="723"/>
      <c r="BP200" s="725"/>
      <c r="BQ200" s="723"/>
      <c r="BR200" s="723"/>
      <c r="BS200" s="723"/>
      <c r="BT200" s="723"/>
      <c r="BU200" s="723"/>
      <c r="BV200" s="723"/>
      <c r="BW200" s="723"/>
      <c r="BX200" s="723"/>
      <c r="BY200" s="725"/>
      <c r="BZ200" s="723"/>
      <c r="CA200" s="723"/>
      <c r="CB200" s="516">
        <v>2147760</v>
      </c>
      <c r="CC200" s="297">
        <v>2148</v>
      </c>
      <c r="CD200" s="723"/>
    </row>
    <row r="201" spans="1:82" ht="22.5" x14ac:dyDescent="0.2">
      <c r="A201" s="703"/>
      <c r="B201" s="292" t="s">
        <v>1381</v>
      </c>
      <c r="C201" s="329" t="s">
        <v>797</v>
      </c>
      <c r="D201" s="314" t="s">
        <v>729</v>
      </c>
      <c r="E201" s="512" t="s">
        <v>766</v>
      </c>
      <c r="F201" s="334" t="s">
        <v>1484</v>
      </c>
      <c r="G201" s="296"/>
      <c r="H201" s="296"/>
      <c r="I201" s="296"/>
      <c r="J201" s="296"/>
      <c r="K201" s="296"/>
      <c r="L201" s="296"/>
      <c r="M201" s="296"/>
      <c r="N201" s="296"/>
      <c r="O201" s="296"/>
      <c r="P201" s="296"/>
      <c r="Q201" s="296"/>
      <c r="R201" s="296"/>
      <c r="S201" s="296"/>
      <c r="T201" s="296"/>
      <c r="U201" s="296"/>
      <c r="V201" s="296"/>
      <c r="W201" s="296"/>
      <c r="X201" s="296"/>
      <c r="Y201" s="296"/>
      <c r="Z201" s="296"/>
      <c r="AA201" s="296"/>
      <c r="AB201" s="296"/>
      <c r="AC201" s="296"/>
      <c r="AD201" s="296"/>
      <c r="AE201" s="296"/>
      <c r="AF201" s="296"/>
      <c r="AG201" s="296"/>
      <c r="AH201" s="299">
        <v>4872</v>
      </c>
      <c r="AI201" s="296">
        <v>1315</v>
      </c>
      <c r="AJ201" s="299">
        <f t="shared" si="60"/>
        <v>6187</v>
      </c>
      <c r="AK201" s="296">
        <f t="shared" si="61"/>
        <v>0</v>
      </c>
      <c r="AL201" s="296">
        <f t="shared" si="61"/>
        <v>0</v>
      </c>
      <c r="AM201" s="296">
        <f t="shared" si="61"/>
        <v>0</v>
      </c>
      <c r="AN201" s="299">
        <v>4872</v>
      </c>
      <c r="AO201" s="296">
        <v>1315</v>
      </c>
      <c r="AP201" s="299">
        <f t="shared" si="62"/>
        <v>6187</v>
      </c>
      <c r="AQ201" s="296">
        <f t="shared" si="57"/>
        <v>0</v>
      </c>
      <c r="AR201" s="296">
        <f t="shared" si="57"/>
        <v>0</v>
      </c>
      <c r="AS201" s="296">
        <f t="shared" si="57"/>
        <v>0</v>
      </c>
      <c r="AT201" s="296">
        <v>4872</v>
      </c>
      <c r="AU201" s="296">
        <v>1315</v>
      </c>
      <c r="AV201" s="296">
        <f t="shared" si="58"/>
        <v>6187</v>
      </c>
      <c r="AW201" s="296"/>
      <c r="AX201" s="296"/>
      <c r="AY201" s="296"/>
      <c r="AZ201" s="296">
        <v>4872</v>
      </c>
      <c r="BA201" s="296">
        <v>1315</v>
      </c>
      <c r="BB201" s="296">
        <v>6187</v>
      </c>
      <c r="BC201" s="499">
        <f t="shared" si="64"/>
        <v>0</v>
      </c>
      <c r="BD201" s="499">
        <f t="shared" si="64"/>
        <v>-1315</v>
      </c>
      <c r="BE201" s="499">
        <f t="shared" si="64"/>
        <v>-1315</v>
      </c>
      <c r="BF201" s="296">
        <v>4872</v>
      </c>
      <c r="BG201" s="296">
        <v>0</v>
      </c>
      <c r="BH201" s="296">
        <f t="shared" si="63"/>
        <v>4872</v>
      </c>
      <c r="BI201" s="723"/>
      <c r="BJ201" s="723"/>
      <c r="BK201" s="723"/>
      <c r="BL201" s="723"/>
      <c r="BM201" s="723"/>
      <c r="BN201" s="723"/>
      <c r="BO201" s="723"/>
      <c r="BP201" s="725"/>
      <c r="BQ201" s="723"/>
      <c r="BR201" s="723"/>
      <c r="BS201" s="723"/>
      <c r="BT201" s="723"/>
      <c r="BU201" s="723"/>
      <c r="BV201" s="723"/>
      <c r="BW201" s="723"/>
      <c r="BX201" s="723"/>
      <c r="BY201" s="725"/>
      <c r="BZ201" s="723"/>
      <c r="CA201" s="723"/>
      <c r="CB201" s="516">
        <v>4871960</v>
      </c>
      <c r="CC201" s="297">
        <v>4872</v>
      </c>
      <c r="CD201" s="723"/>
    </row>
    <row r="202" spans="1:82" ht="17.25" customHeight="1" x14ac:dyDescent="0.2">
      <c r="A202" s="703"/>
      <c r="B202" s="292" t="s">
        <v>1381</v>
      </c>
      <c r="C202" s="329" t="s">
        <v>798</v>
      </c>
      <c r="D202" s="314"/>
      <c r="E202" s="512" t="s">
        <v>766</v>
      </c>
      <c r="F202" s="334" t="s">
        <v>1485</v>
      </c>
      <c r="G202" s="296"/>
      <c r="H202" s="296"/>
      <c r="I202" s="296"/>
      <c r="J202" s="296"/>
      <c r="K202" s="296"/>
      <c r="L202" s="296"/>
      <c r="M202" s="296"/>
      <c r="N202" s="296"/>
      <c r="O202" s="296"/>
      <c r="P202" s="296"/>
      <c r="Q202" s="296"/>
      <c r="R202" s="296"/>
      <c r="S202" s="296"/>
      <c r="T202" s="296"/>
      <c r="U202" s="296"/>
      <c r="V202" s="296"/>
      <c r="W202" s="296"/>
      <c r="X202" s="296"/>
      <c r="Y202" s="296"/>
      <c r="Z202" s="296"/>
      <c r="AA202" s="296"/>
      <c r="AB202" s="296"/>
      <c r="AC202" s="296"/>
      <c r="AD202" s="296"/>
      <c r="AE202" s="296"/>
      <c r="AF202" s="296"/>
      <c r="AG202" s="296"/>
      <c r="AH202" s="299">
        <v>109</v>
      </c>
      <c r="AI202" s="296">
        <v>29</v>
      </c>
      <c r="AJ202" s="299">
        <f t="shared" si="60"/>
        <v>138</v>
      </c>
      <c r="AK202" s="296">
        <f t="shared" si="61"/>
        <v>0</v>
      </c>
      <c r="AL202" s="296">
        <f t="shared" si="61"/>
        <v>0</v>
      </c>
      <c r="AM202" s="296">
        <f t="shared" si="61"/>
        <v>0</v>
      </c>
      <c r="AN202" s="299">
        <v>109</v>
      </c>
      <c r="AO202" s="296">
        <v>29</v>
      </c>
      <c r="AP202" s="299">
        <f t="shared" si="62"/>
        <v>138</v>
      </c>
      <c r="AQ202" s="296">
        <f t="shared" si="57"/>
        <v>0</v>
      </c>
      <c r="AR202" s="296">
        <f t="shared" si="57"/>
        <v>0</v>
      </c>
      <c r="AS202" s="296">
        <f t="shared" si="57"/>
        <v>0</v>
      </c>
      <c r="AT202" s="296">
        <v>109</v>
      </c>
      <c r="AU202" s="296">
        <v>29</v>
      </c>
      <c r="AV202" s="296">
        <f t="shared" si="58"/>
        <v>138</v>
      </c>
      <c r="AW202" s="296"/>
      <c r="AX202" s="296"/>
      <c r="AY202" s="296"/>
      <c r="AZ202" s="296">
        <v>109</v>
      </c>
      <c r="BA202" s="296">
        <v>29</v>
      </c>
      <c r="BB202" s="296">
        <v>138</v>
      </c>
      <c r="BC202" s="499">
        <f t="shared" si="64"/>
        <v>0</v>
      </c>
      <c r="BD202" s="499">
        <f t="shared" si="64"/>
        <v>0</v>
      </c>
      <c r="BE202" s="499">
        <f t="shared" si="64"/>
        <v>0</v>
      </c>
      <c r="BF202" s="296">
        <v>109</v>
      </c>
      <c r="BG202" s="296">
        <v>29</v>
      </c>
      <c r="BH202" s="296">
        <f t="shared" si="63"/>
        <v>138</v>
      </c>
      <c r="BI202" s="723"/>
      <c r="BJ202" s="723"/>
      <c r="BK202" s="723"/>
      <c r="BL202" s="723"/>
      <c r="BM202" s="723"/>
      <c r="BN202" s="723"/>
      <c r="BO202" s="723"/>
      <c r="BP202" s="725"/>
      <c r="BQ202" s="723"/>
      <c r="BR202" s="723"/>
      <c r="BS202" s="723"/>
      <c r="BT202" s="723"/>
      <c r="BU202" s="723"/>
      <c r="BV202" s="723"/>
      <c r="BW202" s="723"/>
      <c r="BX202" s="723"/>
      <c r="BY202" s="725"/>
      <c r="BZ202" s="723"/>
      <c r="CA202" s="723"/>
      <c r="CB202" s="516">
        <v>109522</v>
      </c>
      <c r="CC202" s="297">
        <v>139</v>
      </c>
      <c r="CD202" s="723"/>
    </row>
    <row r="203" spans="1:82" ht="35.25" customHeight="1" x14ac:dyDescent="0.2">
      <c r="A203" s="703"/>
      <c r="B203" s="292" t="s">
        <v>1381</v>
      </c>
      <c r="C203" s="293" t="s">
        <v>1143</v>
      </c>
      <c r="D203" s="314" t="s">
        <v>729</v>
      </c>
      <c r="E203" s="512" t="s">
        <v>799</v>
      </c>
      <c r="F203" s="334" t="s">
        <v>1486</v>
      </c>
      <c r="G203" s="516"/>
      <c r="H203" s="516"/>
      <c r="I203" s="516"/>
      <c r="J203" s="516"/>
      <c r="K203" s="516"/>
      <c r="L203" s="516"/>
      <c r="M203" s="296"/>
      <c r="N203" s="296"/>
      <c r="O203" s="296"/>
      <c r="P203" s="296"/>
      <c r="Q203" s="296"/>
      <c r="R203" s="296"/>
      <c r="S203" s="296"/>
      <c r="T203" s="296"/>
      <c r="U203" s="296"/>
      <c r="V203" s="296"/>
      <c r="W203" s="296"/>
      <c r="X203" s="296"/>
      <c r="Y203" s="296"/>
      <c r="Z203" s="296"/>
      <c r="AA203" s="296"/>
      <c r="AB203" s="296"/>
      <c r="AC203" s="296"/>
      <c r="AD203" s="296"/>
      <c r="AE203" s="296"/>
      <c r="AF203" s="296"/>
      <c r="AG203" s="296"/>
      <c r="AH203" s="299">
        <v>157480</v>
      </c>
      <c r="AI203" s="296">
        <v>42520</v>
      </c>
      <c r="AJ203" s="299">
        <f t="shared" si="60"/>
        <v>200000</v>
      </c>
      <c r="AK203" s="296">
        <f t="shared" si="61"/>
        <v>-149799</v>
      </c>
      <c r="AL203" s="296">
        <f t="shared" si="61"/>
        <v>-40386</v>
      </c>
      <c r="AM203" s="296">
        <f t="shared" si="61"/>
        <v>-190185</v>
      </c>
      <c r="AN203" s="296">
        <f>AH203-SUM(AK205:AK213)</f>
        <v>7681</v>
      </c>
      <c r="AO203" s="296">
        <f>AI203-SUM(AL205:AL213)</f>
        <v>2134</v>
      </c>
      <c r="AP203" s="296">
        <f>AJ203-SUM(AM205:AM213)</f>
        <v>9815</v>
      </c>
      <c r="AQ203" s="296">
        <f t="shared" si="57"/>
        <v>-560</v>
      </c>
      <c r="AR203" s="296">
        <f t="shared" si="57"/>
        <v>-154</v>
      </c>
      <c r="AS203" s="296">
        <f t="shared" si="57"/>
        <v>-714</v>
      </c>
      <c r="AT203" s="296">
        <f>AN203-SUM(AQ205:AQ213)</f>
        <v>7121</v>
      </c>
      <c r="AU203" s="296">
        <f>AO203-SUM(AR205:AR213)</f>
        <v>1980</v>
      </c>
      <c r="AV203" s="296">
        <f>AP203-SUM(AS205:AS213)</f>
        <v>9101</v>
      </c>
      <c r="AW203" s="296"/>
      <c r="AX203" s="296"/>
      <c r="AY203" s="296"/>
      <c r="AZ203" s="296">
        <v>7121</v>
      </c>
      <c r="BA203" s="296">
        <v>1980</v>
      </c>
      <c r="BB203" s="296">
        <v>9101</v>
      </c>
      <c r="BC203" s="499">
        <f t="shared" si="64"/>
        <v>-7121</v>
      </c>
      <c r="BD203" s="499">
        <f t="shared" si="64"/>
        <v>-1980</v>
      </c>
      <c r="BE203" s="499">
        <f t="shared" si="64"/>
        <v>-9101</v>
      </c>
      <c r="BF203" s="296">
        <v>0</v>
      </c>
      <c r="BG203" s="296">
        <v>0</v>
      </c>
      <c r="BH203" s="296">
        <f>SUM(BF203:BG203)</f>
        <v>0</v>
      </c>
      <c r="BI203" s="723"/>
      <c r="BJ203" s="723"/>
      <c r="BK203" s="723"/>
      <c r="BL203" s="723"/>
      <c r="BM203" s="723"/>
      <c r="BN203" s="723"/>
      <c r="BO203" s="723"/>
      <c r="BP203" s="725"/>
      <c r="BQ203" s="723"/>
      <c r="BR203" s="723"/>
      <c r="BS203" s="723"/>
      <c r="BT203" s="723"/>
      <c r="BU203" s="723"/>
      <c r="BV203" s="723"/>
      <c r="BW203" s="723"/>
      <c r="BX203" s="723"/>
      <c r="BY203" s="725"/>
      <c r="BZ203" s="723"/>
      <c r="CA203" s="723"/>
      <c r="CB203" s="516">
        <v>0</v>
      </c>
      <c r="CC203" s="297">
        <v>0</v>
      </c>
      <c r="CD203" s="723"/>
    </row>
    <row r="204" spans="1:82" ht="35.25" customHeight="1" x14ac:dyDescent="0.2">
      <c r="A204" s="703"/>
      <c r="B204" s="292" t="s">
        <v>1381</v>
      </c>
      <c r="C204" s="329" t="s">
        <v>800</v>
      </c>
      <c r="D204" s="314"/>
      <c r="E204" s="512" t="s">
        <v>799</v>
      </c>
      <c r="F204" s="334" t="s">
        <v>801</v>
      </c>
      <c r="G204" s="296"/>
      <c r="H204" s="296"/>
      <c r="I204" s="296"/>
      <c r="J204" s="296"/>
      <c r="K204" s="296"/>
      <c r="L204" s="296"/>
      <c r="M204" s="296"/>
      <c r="N204" s="296"/>
      <c r="O204" s="296"/>
      <c r="P204" s="296"/>
      <c r="Q204" s="296"/>
      <c r="R204" s="296"/>
      <c r="S204" s="296"/>
      <c r="T204" s="296"/>
      <c r="U204" s="296"/>
      <c r="V204" s="296"/>
      <c r="W204" s="296"/>
      <c r="X204" s="296"/>
      <c r="Y204" s="296"/>
      <c r="Z204" s="296"/>
      <c r="AA204" s="296"/>
      <c r="AB204" s="296"/>
      <c r="AC204" s="296"/>
      <c r="AD204" s="296"/>
      <c r="AE204" s="296"/>
      <c r="AF204" s="296"/>
      <c r="AG204" s="296"/>
      <c r="AH204" s="299">
        <v>420</v>
      </c>
      <c r="AI204" s="296">
        <v>113</v>
      </c>
      <c r="AJ204" s="299">
        <f t="shared" si="60"/>
        <v>533</v>
      </c>
      <c r="AK204" s="296">
        <f t="shared" si="61"/>
        <v>0</v>
      </c>
      <c r="AL204" s="296">
        <f t="shared" si="61"/>
        <v>0</v>
      </c>
      <c r="AM204" s="296">
        <f t="shared" si="61"/>
        <v>0</v>
      </c>
      <c r="AN204" s="335">
        <v>420</v>
      </c>
      <c r="AO204" s="296">
        <v>113</v>
      </c>
      <c r="AP204" s="296">
        <f t="shared" ref="AP204:AP220" si="65">SUM(AN204:AO204)</f>
        <v>533</v>
      </c>
      <c r="AQ204" s="296">
        <f t="shared" si="57"/>
        <v>0</v>
      </c>
      <c r="AR204" s="296">
        <f t="shared" si="57"/>
        <v>0</v>
      </c>
      <c r="AS204" s="296">
        <f t="shared" si="57"/>
        <v>0</v>
      </c>
      <c r="AT204" s="296">
        <v>420</v>
      </c>
      <c r="AU204" s="296">
        <v>113</v>
      </c>
      <c r="AV204" s="296">
        <f t="shared" ref="AV204:AV220" si="66">SUM(AT204:AU204)</f>
        <v>533</v>
      </c>
      <c r="AW204" s="296"/>
      <c r="AX204" s="296"/>
      <c r="AY204" s="296"/>
      <c r="AZ204" s="296">
        <v>420</v>
      </c>
      <c r="BA204" s="296">
        <v>113</v>
      </c>
      <c r="BB204" s="296">
        <v>533</v>
      </c>
      <c r="BC204" s="499">
        <f t="shared" si="64"/>
        <v>-420</v>
      </c>
      <c r="BD204" s="499">
        <f t="shared" si="64"/>
        <v>-113</v>
      </c>
      <c r="BE204" s="499">
        <f t="shared" si="64"/>
        <v>-533</v>
      </c>
      <c r="BF204" s="296">
        <v>0</v>
      </c>
      <c r="BG204" s="296">
        <v>0</v>
      </c>
      <c r="BH204" s="296">
        <f>SUM(BF204:BG204)</f>
        <v>0</v>
      </c>
      <c r="BI204" s="723"/>
      <c r="BJ204" s="723"/>
      <c r="BK204" s="723"/>
      <c r="BL204" s="723"/>
      <c r="BM204" s="723"/>
      <c r="BN204" s="723"/>
      <c r="BO204" s="723"/>
      <c r="BP204" s="725"/>
      <c r="BQ204" s="723"/>
      <c r="BR204" s="723"/>
      <c r="BS204" s="723"/>
      <c r="BT204" s="723"/>
      <c r="BU204" s="723"/>
      <c r="BV204" s="723"/>
      <c r="BW204" s="723"/>
      <c r="BX204" s="723"/>
      <c r="BY204" s="725"/>
      <c r="BZ204" s="723"/>
      <c r="CA204" s="723"/>
      <c r="CB204" s="516">
        <v>0</v>
      </c>
      <c r="CC204" s="297">
        <v>0</v>
      </c>
      <c r="CD204" s="723"/>
    </row>
    <row r="205" spans="1:82" ht="33.75" customHeight="1" x14ac:dyDescent="0.2">
      <c r="A205" s="703"/>
      <c r="B205" s="292" t="s">
        <v>1381</v>
      </c>
      <c r="C205" s="329" t="s">
        <v>802</v>
      </c>
      <c r="D205" s="314" t="s">
        <v>729</v>
      </c>
      <c r="E205" s="512" t="s">
        <v>799</v>
      </c>
      <c r="F205" s="334" t="s">
        <v>803</v>
      </c>
      <c r="G205" s="296"/>
      <c r="H205" s="296"/>
      <c r="I205" s="296"/>
      <c r="J205" s="296"/>
      <c r="K205" s="296"/>
      <c r="L205" s="296"/>
      <c r="M205" s="296"/>
      <c r="N205" s="296"/>
      <c r="O205" s="296"/>
      <c r="P205" s="296"/>
      <c r="Q205" s="296"/>
      <c r="R205" s="296"/>
      <c r="S205" s="296"/>
      <c r="T205" s="296"/>
      <c r="U205" s="296"/>
      <c r="V205" s="296"/>
      <c r="W205" s="296"/>
      <c r="X205" s="296"/>
      <c r="Y205" s="296"/>
      <c r="Z205" s="296"/>
      <c r="AA205" s="296"/>
      <c r="AB205" s="296"/>
      <c r="AC205" s="296"/>
      <c r="AD205" s="296"/>
      <c r="AE205" s="296"/>
      <c r="AF205" s="296"/>
      <c r="AG205" s="296"/>
      <c r="AH205" s="299"/>
      <c r="AI205" s="296"/>
      <c r="AJ205" s="299"/>
      <c r="AK205" s="296">
        <f t="shared" si="61"/>
        <v>87439</v>
      </c>
      <c r="AL205" s="296">
        <f t="shared" si="61"/>
        <v>23610</v>
      </c>
      <c r="AM205" s="296">
        <f t="shared" si="61"/>
        <v>111049</v>
      </c>
      <c r="AN205" s="335">
        <v>87439</v>
      </c>
      <c r="AO205" s="296">
        <v>23610</v>
      </c>
      <c r="AP205" s="296">
        <f t="shared" si="65"/>
        <v>111049</v>
      </c>
      <c r="AQ205" s="296">
        <f t="shared" si="57"/>
        <v>0</v>
      </c>
      <c r="AR205" s="296">
        <f t="shared" si="57"/>
        <v>0</v>
      </c>
      <c r="AS205" s="296">
        <f t="shared" si="57"/>
        <v>0</v>
      </c>
      <c r="AT205" s="296">
        <v>87439</v>
      </c>
      <c r="AU205" s="296">
        <v>23610</v>
      </c>
      <c r="AV205" s="296">
        <f t="shared" si="66"/>
        <v>111049</v>
      </c>
      <c r="AW205" s="296"/>
      <c r="AX205" s="296"/>
      <c r="AY205" s="296"/>
      <c r="AZ205" s="296">
        <v>87439</v>
      </c>
      <c r="BA205" s="296">
        <v>23610</v>
      </c>
      <c r="BB205" s="296">
        <v>111049</v>
      </c>
      <c r="BC205" s="499">
        <f t="shared" si="64"/>
        <v>2905</v>
      </c>
      <c r="BD205" s="499">
        <f t="shared" si="64"/>
        <v>-23610</v>
      </c>
      <c r="BE205" s="499">
        <f t="shared" si="64"/>
        <v>-20705</v>
      </c>
      <c r="BF205" s="296">
        <v>90344</v>
      </c>
      <c r="BG205" s="296">
        <v>0</v>
      </c>
      <c r="BH205" s="296">
        <f>SUM(BF205:BG205)</f>
        <v>90344</v>
      </c>
      <c r="BI205" s="723"/>
      <c r="BJ205" s="723"/>
      <c r="BK205" s="723"/>
      <c r="BL205" s="723"/>
      <c r="BM205" s="723"/>
      <c r="BN205" s="723"/>
      <c r="BO205" s="723"/>
      <c r="BP205" s="725"/>
      <c r="BQ205" s="723"/>
      <c r="BR205" s="723"/>
      <c r="BS205" s="723"/>
      <c r="BT205" s="723"/>
      <c r="BU205" s="723"/>
      <c r="BV205" s="723"/>
      <c r="BW205" s="723"/>
      <c r="BX205" s="723"/>
      <c r="BY205" s="725"/>
      <c r="BZ205" s="723"/>
      <c r="CA205" s="723"/>
      <c r="CB205" s="516">
        <v>90344038</v>
      </c>
      <c r="CC205" s="297">
        <v>90344</v>
      </c>
      <c r="CD205" s="723"/>
    </row>
    <row r="206" spans="1:82" ht="34.5" customHeight="1" x14ac:dyDescent="0.2">
      <c r="A206" s="703"/>
      <c r="B206" s="292" t="s">
        <v>1381</v>
      </c>
      <c r="C206" s="329" t="s">
        <v>804</v>
      </c>
      <c r="D206" s="314" t="s">
        <v>729</v>
      </c>
      <c r="E206" s="512" t="s">
        <v>799</v>
      </c>
      <c r="F206" s="334" t="s">
        <v>805</v>
      </c>
      <c r="G206" s="296"/>
      <c r="H206" s="296"/>
      <c r="I206" s="296"/>
      <c r="J206" s="296"/>
      <c r="K206" s="296"/>
      <c r="L206" s="296"/>
      <c r="M206" s="296"/>
      <c r="N206" s="296"/>
      <c r="O206" s="296"/>
      <c r="P206" s="296"/>
      <c r="Q206" s="296"/>
      <c r="R206" s="296"/>
      <c r="S206" s="296"/>
      <c r="T206" s="296"/>
      <c r="U206" s="296"/>
      <c r="V206" s="296"/>
      <c r="W206" s="296"/>
      <c r="X206" s="296"/>
      <c r="Y206" s="296"/>
      <c r="Z206" s="296"/>
      <c r="AA206" s="296"/>
      <c r="AB206" s="296"/>
      <c r="AC206" s="296"/>
      <c r="AD206" s="296"/>
      <c r="AE206" s="296"/>
      <c r="AF206" s="296"/>
      <c r="AG206" s="296"/>
      <c r="AH206" s="299"/>
      <c r="AI206" s="296"/>
      <c r="AJ206" s="299"/>
      <c r="AK206" s="296">
        <f t="shared" si="61"/>
        <v>58293</v>
      </c>
      <c r="AL206" s="296">
        <f t="shared" si="61"/>
        <v>15739</v>
      </c>
      <c r="AM206" s="296">
        <f t="shared" si="61"/>
        <v>74032</v>
      </c>
      <c r="AN206" s="335">
        <v>58293</v>
      </c>
      <c r="AO206" s="296">
        <v>15739</v>
      </c>
      <c r="AP206" s="296">
        <f t="shared" si="65"/>
        <v>74032</v>
      </c>
      <c r="AQ206" s="296">
        <f t="shared" si="57"/>
        <v>0</v>
      </c>
      <c r="AR206" s="296">
        <f t="shared" si="57"/>
        <v>0</v>
      </c>
      <c r="AS206" s="296">
        <f t="shared" si="57"/>
        <v>0</v>
      </c>
      <c r="AT206" s="296">
        <v>58293</v>
      </c>
      <c r="AU206" s="296">
        <v>15739</v>
      </c>
      <c r="AV206" s="296">
        <f t="shared" si="66"/>
        <v>74032</v>
      </c>
      <c r="AW206" s="296"/>
      <c r="AX206" s="296"/>
      <c r="AY206" s="296"/>
      <c r="AZ206" s="296">
        <v>58293</v>
      </c>
      <c r="BA206" s="296">
        <v>15739</v>
      </c>
      <c r="BB206" s="296">
        <v>74032</v>
      </c>
      <c r="BC206" s="499">
        <f t="shared" si="64"/>
        <v>-4936</v>
      </c>
      <c r="BD206" s="499">
        <f t="shared" si="64"/>
        <v>-15739</v>
      </c>
      <c r="BE206" s="499">
        <f t="shared" si="64"/>
        <v>-20675</v>
      </c>
      <c r="BF206" s="296">
        <v>53357</v>
      </c>
      <c r="BG206" s="296">
        <v>0</v>
      </c>
      <c r="BH206" s="296">
        <f>SUM(BF206:BG206)</f>
        <v>53357</v>
      </c>
      <c r="BI206" s="723"/>
      <c r="BJ206" s="723"/>
      <c r="BK206" s="723"/>
      <c r="BL206" s="723"/>
      <c r="BM206" s="723"/>
      <c r="BN206" s="723"/>
      <c r="BO206" s="723"/>
      <c r="BP206" s="725"/>
      <c r="BQ206" s="723"/>
      <c r="BR206" s="723"/>
      <c r="BS206" s="723"/>
      <c r="BT206" s="723"/>
      <c r="BU206" s="723"/>
      <c r="BV206" s="723"/>
      <c r="BW206" s="723"/>
      <c r="BX206" s="723"/>
      <c r="BY206" s="725"/>
      <c r="BZ206" s="723"/>
      <c r="CA206" s="723"/>
      <c r="CB206" s="516">
        <v>53356680</v>
      </c>
      <c r="CC206" s="297">
        <v>53357</v>
      </c>
      <c r="CD206" s="723"/>
    </row>
    <row r="207" spans="1:82" ht="33" customHeight="1" x14ac:dyDescent="0.2">
      <c r="A207" s="703"/>
      <c r="B207" s="292" t="s">
        <v>1381</v>
      </c>
      <c r="C207" s="329" t="s">
        <v>806</v>
      </c>
      <c r="D207" s="314" t="s">
        <v>807</v>
      </c>
      <c r="E207" s="512" t="s">
        <v>799</v>
      </c>
      <c r="F207" s="334" t="s">
        <v>808</v>
      </c>
      <c r="G207" s="296"/>
      <c r="H207" s="296"/>
      <c r="I207" s="296"/>
      <c r="J207" s="296"/>
      <c r="K207" s="296"/>
      <c r="L207" s="296"/>
      <c r="M207" s="296"/>
      <c r="N207" s="296"/>
      <c r="O207" s="296"/>
      <c r="P207" s="296"/>
      <c r="Q207" s="296"/>
      <c r="R207" s="296"/>
      <c r="S207" s="296"/>
      <c r="T207" s="296"/>
      <c r="U207" s="296"/>
      <c r="V207" s="296"/>
      <c r="W207" s="296"/>
      <c r="X207" s="296"/>
      <c r="Y207" s="296"/>
      <c r="Z207" s="296"/>
      <c r="AA207" s="296"/>
      <c r="AB207" s="296"/>
      <c r="AC207" s="296"/>
      <c r="AD207" s="296"/>
      <c r="AE207" s="296"/>
      <c r="AF207" s="296"/>
      <c r="AG207" s="296"/>
      <c r="AH207" s="299"/>
      <c r="AI207" s="296"/>
      <c r="AJ207" s="299"/>
      <c r="AK207" s="296">
        <f t="shared" si="61"/>
        <v>7</v>
      </c>
      <c r="AL207" s="296">
        <f t="shared" si="61"/>
        <v>0</v>
      </c>
      <c r="AM207" s="296">
        <f t="shared" si="61"/>
        <v>7</v>
      </c>
      <c r="AN207" s="335">
        <v>7</v>
      </c>
      <c r="AO207" s="296">
        <v>0</v>
      </c>
      <c r="AP207" s="296">
        <f t="shared" si="65"/>
        <v>7</v>
      </c>
      <c r="AQ207" s="296">
        <f t="shared" si="57"/>
        <v>0</v>
      </c>
      <c r="AR207" s="296">
        <f t="shared" si="57"/>
        <v>0</v>
      </c>
      <c r="AS207" s="296">
        <f t="shared" si="57"/>
        <v>0</v>
      </c>
      <c r="AT207" s="296">
        <v>7</v>
      </c>
      <c r="AU207" s="296">
        <v>0</v>
      </c>
      <c r="AV207" s="296">
        <f t="shared" si="66"/>
        <v>7</v>
      </c>
      <c r="AW207" s="296"/>
      <c r="AX207" s="296"/>
      <c r="AY207" s="296"/>
      <c r="AZ207" s="296">
        <v>7</v>
      </c>
      <c r="BA207" s="296">
        <v>0</v>
      </c>
      <c r="BB207" s="296">
        <v>7</v>
      </c>
      <c r="BC207" s="499">
        <f t="shared" si="64"/>
        <v>0</v>
      </c>
      <c r="BD207" s="499">
        <f t="shared" si="64"/>
        <v>0</v>
      </c>
      <c r="BE207" s="499">
        <f t="shared" si="64"/>
        <v>0</v>
      </c>
      <c r="BF207" s="296">
        <v>7</v>
      </c>
      <c r="BG207" s="296">
        <v>0</v>
      </c>
      <c r="BH207" s="296">
        <f t="shared" ref="BH207:BH224" si="67">SUM(BF207:BG207)</f>
        <v>7</v>
      </c>
      <c r="BI207" s="723"/>
      <c r="BJ207" s="723"/>
      <c r="BK207" s="723"/>
      <c r="BL207" s="723"/>
      <c r="BM207" s="723"/>
      <c r="BN207" s="723"/>
      <c r="BO207" s="723"/>
      <c r="BP207" s="725"/>
      <c r="BQ207" s="723"/>
      <c r="BR207" s="723"/>
      <c r="BS207" s="723"/>
      <c r="BT207" s="723"/>
      <c r="BU207" s="723"/>
      <c r="BV207" s="723"/>
      <c r="BW207" s="723"/>
      <c r="BX207" s="723"/>
      <c r="BY207" s="725"/>
      <c r="BZ207" s="723"/>
      <c r="CA207" s="723"/>
      <c r="CB207" s="516">
        <v>7000</v>
      </c>
      <c r="CC207" s="297">
        <v>7</v>
      </c>
      <c r="CD207" s="723"/>
    </row>
    <row r="208" spans="1:82" ht="33" customHeight="1" x14ac:dyDescent="0.2">
      <c r="A208" s="703"/>
      <c r="B208" s="292" t="s">
        <v>1381</v>
      </c>
      <c r="C208" s="329" t="s">
        <v>809</v>
      </c>
      <c r="D208" s="314" t="s">
        <v>807</v>
      </c>
      <c r="E208" s="512" t="s">
        <v>799</v>
      </c>
      <c r="F208" s="334" t="s">
        <v>810</v>
      </c>
      <c r="G208" s="296"/>
      <c r="H208" s="296"/>
      <c r="I208" s="296"/>
      <c r="J208" s="296"/>
      <c r="K208" s="296"/>
      <c r="L208" s="296"/>
      <c r="M208" s="296"/>
      <c r="N208" s="296"/>
      <c r="O208" s="296"/>
      <c r="P208" s="296"/>
      <c r="Q208" s="296"/>
      <c r="R208" s="296"/>
      <c r="S208" s="296"/>
      <c r="T208" s="296"/>
      <c r="U208" s="296"/>
      <c r="V208" s="296"/>
      <c r="W208" s="296"/>
      <c r="X208" s="296"/>
      <c r="Y208" s="296"/>
      <c r="Z208" s="296"/>
      <c r="AA208" s="296"/>
      <c r="AB208" s="296"/>
      <c r="AC208" s="296"/>
      <c r="AD208" s="296"/>
      <c r="AE208" s="296"/>
      <c r="AF208" s="296"/>
      <c r="AG208" s="296"/>
      <c r="AH208" s="299"/>
      <c r="AI208" s="296"/>
      <c r="AJ208" s="299"/>
      <c r="AK208" s="296">
        <f t="shared" si="61"/>
        <v>18</v>
      </c>
      <c r="AL208" s="296">
        <f t="shared" si="61"/>
        <v>0</v>
      </c>
      <c r="AM208" s="296">
        <f t="shared" si="61"/>
        <v>18</v>
      </c>
      <c r="AN208" s="335">
        <v>18</v>
      </c>
      <c r="AO208" s="296">
        <v>0</v>
      </c>
      <c r="AP208" s="296">
        <f t="shared" si="65"/>
        <v>18</v>
      </c>
      <c r="AQ208" s="296">
        <f t="shared" si="57"/>
        <v>0</v>
      </c>
      <c r="AR208" s="296">
        <f t="shared" si="57"/>
        <v>0</v>
      </c>
      <c r="AS208" s="296">
        <f t="shared" si="57"/>
        <v>0</v>
      </c>
      <c r="AT208" s="296">
        <v>18</v>
      </c>
      <c r="AU208" s="296">
        <v>0</v>
      </c>
      <c r="AV208" s="296">
        <f t="shared" si="66"/>
        <v>18</v>
      </c>
      <c r="AW208" s="296"/>
      <c r="AX208" s="296"/>
      <c r="AY208" s="296"/>
      <c r="AZ208" s="296">
        <v>18</v>
      </c>
      <c r="BA208" s="296">
        <v>0</v>
      </c>
      <c r="BB208" s="296">
        <v>18</v>
      </c>
      <c r="BC208" s="499">
        <f t="shared" si="64"/>
        <v>-12</v>
      </c>
      <c r="BD208" s="499">
        <f t="shared" si="64"/>
        <v>0</v>
      </c>
      <c r="BE208" s="499">
        <f t="shared" si="64"/>
        <v>-12</v>
      </c>
      <c r="BF208" s="296">
        <v>6</v>
      </c>
      <c r="BG208" s="296">
        <v>0</v>
      </c>
      <c r="BH208" s="296">
        <f t="shared" si="67"/>
        <v>6</v>
      </c>
      <c r="BI208" s="723"/>
      <c r="BJ208" s="723"/>
      <c r="BK208" s="723"/>
      <c r="BL208" s="723"/>
      <c r="BM208" s="723"/>
      <c r="BN208" s="723"/>
      <c r="BO208" s="723"/>
      <c r="BP208" s="725"/>
      <c r="BQ208" s="723"/>
      <c r="BR208" s="723"/>
      <c r="BS208" s="723"/>
      <c r="BT208" s="723"/>
      <c r="BU208" s="723"/>
      <c r="BV208" s="723"/>
      <c r="BW208" s="723"/>
      <c r="BX208" s="723"/>
      <c r="BY208" s="725"/>
      <c r="BZ208" s="723"/>
      <c r="CA208" s="723"/>
      <c r="CB208" s="516">
        <v>6000</v>
      </c>
      <c r="CC208" s="297">
        <v>6</v>
      </c>
      <c r="CD208" s="723"/>
    </row>
    <row r="209" spans="1:82" ht="33" customHeight="1" x14ac:dyDescent="0.2">
      <c r="A209" s="703"/>
      <c r="B209" s="292" t="s">
        <v>1381</v>
      </c>
      <c r="C209" s="329" t="s">
        <v>811</v>
      </c>
      <c r="D209" s="314"/>
      <c r="E209" s="512" t="s">
        <v>799</v>
      </c>
      <c r="F209" s="334" t="s">
        <v>812</v>
      </c>
      <c r="G209" s="296"/>
      <c r="H209" s="296"/>
      <c r="I209" s="296"/>
      <c r="J209" s="296"/>
      <c r="K209" s="296"/>
      <c r="L209" s="296"/>
      <c r="M209" s="296"/>
      <c r="N209" s="296"/>
      <c r="O209" s="296"/>
      <c r="P209" s="296"/>
      <c r="Q209" s="296"/>
      <c r="R209" s="296"/>
      <c r="S209" s="296"/>
      <c r="T209" s="296"/>
      <c r="U209" s="296"/>
      <c r="V209" s="296"/>
      <c r="W209" s="296"/>
      <c r="X209" s="296"/>
      <c r="Y209" s="296"/>
      <c r="Z209" s="296"/>
      <c r="AA209" s="296"/>
      <c r="AB209" s="296"/>
      <c r="AC209" s="296"/>
      <c r="AD209" s="296"/>
      <c r="AE209" s="296"/>
      <c r="AF209" s="296"/>
      <c r="AG209" s="296"/>
      <c r="AH209" s="299"/>
      <c r="AI209" s="296"/>
      <c r="AJ209" s="299"/>
      <c r="AK209" s="296">
        <f t="shared" si="61"/>
        <v>25</v>
      </c>
      <c r="AL209" s="296">
        <f t="shared" si="61"/>
        <v>7</v>
      </c>
      <c r="AM209" s="296">
        <f t="shared" si="61"/>
        <v>32</v>
      </c>
      <c r="AN209" s="335">
        <v>25</v>
      </c>
      <c r="AO209" s="296">
        <v>7</v>
      </c>
      <c r="AP209" s="296">
        <f t="shared" si="65"/>
        <v>32</v>
      </c>
      <c r="AQ209" s="296">
        <f t="shared" si="57"/>
        <v>0</v>
      </c>
      <c r="AR209" s="296">
        <f t="shared" si="57"/>
        <v>0</v>
      </c>
      <c r="AS209" s="296">
        <f t="shared" si="57"/>
        <v>0</v>
      </c>
      <c r="AT209" s="296">
        <v>25</v>
      </c>
      <c r="AU209" s="296">
        <v>7</v>
      </c>
      <c r="AV209" s="296">
        <f t="shared" si="66"/>
        <v>32</v>
      </c>
      <c r="AW209" s="296"/>
      <c r="AX209" s="296"/>
      <c r="AY209" s="296"/>
      <c r="AZ209" s="296">
        <v>25</v>
      </c>
      <c r="BA209" s="296">
        <v>7</v>
      </c>
      <c r="BB209" s="296">
        <v>32</v>
      </c>
      <c r="BC209" s="499">
        <f t="shared" si="64"/>
        <v>0</v>
      </c>
      <c r="BD209" s="499">
        <f t="shared" si="64"/>
        <v>0</v>
      </c>
      <c r="BE209" s="499">
        <f t="shared" si="64"/>
        <v>0</v>
      </c>
      <c r="BF209" s="296">
        <v>25</v>
      </c>
      <c r="BG209" s="296">
        <v>7</v>
      </c>
      <c r="BH209" s="296">
        <f t="shared" si="67"/>
        <v>32</v>
      </c>
      <c r="BI209" s="723"/>
      <c r="BJ209" s="723"/>
      <c r="BK209" s="723"/>
      <c r="BL209" s="723"/>
      <c r="BM209" s="723"/>
      <c r="BN209" s="723"/>
      <c r="BO209" s="723"/>
      <c r="BP209" s="725"/>
      <c r="BQ209" s="723"/>
      <c r="BR209" s="723"/>
      <c r="BS209" s="723"/>
      <c r="BT209" s="723"/>
      <c r="BU209" s="723"/>
      <c r="BV209" s="723"/>
      <c r="BW209" s="723"/>
      <c r="BX209" s="723"/>
      <c r="BY209" s="725"/>
      <c r="BZ209" s="723"/>
      <c r="CA209" s="723"/>
      <c r="CB209" s="516">
        <v>25000</v>
      </c>
      <c r="CC209" s="297">
        <v>32</v>
      </c>
      <c r="CD209" s="723"/>
    </row>
    <row r="210" spans="1:82" ht="33.75" customHeight="1" x14ac:dyDescent="0.2">
      <c r="A210" s="703"/>
      <c r="B210" s="292" t="s">
        <v>1381</v>
      </c>
      <c r="C210" s="329" t="s">
        <v>813</v>
      </c>
      <c r="D210" s="314" t="s">
        <v>807</v>
      </c>
      <c r="E210" s="512" t="s">
        <v>799</v>
      </c>
      <c r="F210" s="334" t="s">
        <v>814</v>
      </c>
      <c r="G210" s="296"/>
      <c r="H210" s="296"/>
      <c r="I210" s="296"/>
      <c r="J210" s="296"/>
      <c r="K210" s="296"/>
      <c r="L210" s="296"/>
      <c r="M210" s="296"/>
      <c r="N210" s="296"/>
      <c r="O210" s="296"/>
      <c r="P210" s="296"/>
      <c r="Q210" s="296"/>
      <c r="R210" s="296"/>
      <c r="S210" s="296"/>
      <c r="T210" s="296"/>
      <c r="U210" s="296"/>
      <c r="V210" s="296"/>
      <c r="W210" s="296"/>
      <c r="X210" s="296"/>
      <c r="Y210" s="296"/>
      <c r="Z210" s="296"/>
      <c r="AA210" s="296"/>
      <c r="AB210" s="296"/>
      <c r="AC210" s="296"/>
      <c r="AD210" s="296"/>
      <c r="AE210" s="296"/>
      <c r="AF210" s="296"/>
      <c r="AG210" s="296"/>
      <c r="AH210" s="299"/>
      <c r="AI210" s="296"/>
      <c r="AJ210" s="299"/>
      <c r="AK210" s="296">
        <f t="shared" si="61"/>
        <v>204</v>
      </c>
      <c r="AL210" s="296">
        <f t="shared" si="61"/>
        <v>0</v>
      </c>
      <c r="AM210" s="296">
        <f t="shared" si="61"/>
        <v>204</v>
      </c>
      <c r="AN210" s="335">
        <v>204</v>
      </c>
      <c r="AO210" s="296">
        <v>0</v>
      </c>
      <c r="AP210" s="296">
        <f t="shared" si="65"/>
        <v>204</v>
      </c>
      <c r="AQ210" s="296">
        <f t="shared" si="57"/>
        <v>0</v>
      </c>
      <c r="AR210" s="296">
        <f t="shared" si="57"/>
        <v>0</v>
      </c>
      <c r="AS210" s="296">
        <f t="shared" si="57"/>
        <v>0</v>
      </c>
      <c r="AT210" s="296">
        <v>204</v>
      </c>
      <c r="AU210" s="296">
        <v>0</v>
      </c>
      <c r="AV210" s="296">
        <f t="shared" si="66"/>
        <v>204</v>
      </c>
      <c r="AW210" s="296"/>
      <c r="AX210" s="296"/>
      <c r="AY210" s="296"/>
      <c r="AZ210" s="296">
        <v>204</v>
      </c>
      <c r="BA210" s="296">
        <v>0</v>
      </c>
      <c r="BB210" s="296">
        <v>204</v>
      </c>
      <c r="BC210" s="499">
        <f t="shared" si="64"/>
        <v>0</v>
      </c>
      <c r="BD210" s="499">
        <f t="shared" si="64"/>
        <v>0</v>
      </c>
      <c r="BE210" s="499">
        <f t="shared" si="64"/>
        <v>0</v>
      </c>
      <c r="BF210" s="296">
        <v>204</v>
      </c>
      <c r="BG210" s="296">
        <v>0</v>
      </c>
      <c r="BH210" s="296">
        <f t="shared" si="67"/>
        <v>204</v>
      </c>
      <c r="BI210" s="723"/>
      <c r="BJ210" s="723"/>
      <c r="BK210" s="723"/>
      <c r="BL210" s="723"/>
      <c r="BM210" s="723"/>
      <c r="BN210" s="723"/>
      <c r="BO210" s="723"/>
      <c r="BP210" s="725"/>
      <c r="BQ210" s="723"/>
      <c r="BR210" s="723"/>
      <c r="BS210" s="723"/>
      <c r="BT210" s="723"/>
      <c r="BU210" s="723"/>
      <c r="BV210" s="723"/>
      <c r="BW210" s="723"/>
      <c r="BX210" s="723"/>
      <c r="BY210" s="725"/>
      <c r="BZ210" s="723"/>
      <c r="CA210" s="723"/>
      <c r="CB210" s="516">
        <v>203783</v>
      </c>
      <c r="CC210" s="297">
        <v>204</v>
      </c>
      <c r="CD210" s="723"/>
    </row>
    <row r="211" spans="1:82" ht="33" customHeight="1" x14ac:dyDescent="0.2">
      <c r="A211" s="703"/>
      <c r="B211" s="292" t="s">
        <v>1381</v>
      </c>
      <c r="C211" s="329" t="s">
        <v>815</v>
      </c>
      <c r="D211" s="314"/>
      <c r="E211" s="512" t="s">
        <v>799</v>
      </c>
      <c r="F211" s="334" t="s">
        <v>816</v>
      </c>
      <c r="G211" s="296"/>
      <c r="H211" s="296"/>
      <c r="I211" s="296"/>
      <c r="J211" s="296"/>
      <c r="K211" s="296"/>
      <c r="L211" s="296"/>
      <c r="M211" s="296"/>
      <c r="N211" s="296"/>
      <c r="O211" s="296"/>
      <c r="P211" s="296"/>
      <c r="Q211" s="296"/>
      <c r="R211" s="296"/>
      <c r="S211" s="296"/>
      <c r="T211" s="296"/>
      <c r="U211" s="296"/>
      <c r="V211" s="296"/>
      <c r="W211" s="296"/>
      <c r="X211" s="296"/>
      <c r="Y211" s="296"/>
      <c r="Z211" s="296"/>
      <c r="AA211" s="296"/>
      <c r="AB211" s="296"/>
      <c r="AC211" s="296"/>
      <c r="AD211" s="296"/>
      <c r="AE211" s="296"/>
      <c r="AF211" s="296"/>
      <c r="AG211" s="296"/>
      <c r="AH211" s="299"/>
      <c r="AI211" s="296"/>
      <c r="AJ211" s="299"/>
      <c r="AK211" s="296">
        <f t="shared" si="61"/>
        <v>1863</v>
      </c>
      <c r="AL211" s="296">
        <f t="shared" si="61"/>
        <v>503</v>
      </c>
      <c r="AM211" s="296">
        <f t="shared" si="61"/>
        <v>2366</v>
      </c>
      <c r="AN211" s="335">
        <v>1863</v>
      </c>
      <c r="AO211" s="296">
        <v>503</v>
      </c>
      <c r="AP211" s="296">
        <f t="shared" si="65"/>
        <v>2366</v>
      </c>
      <c r="AQ211" s="296">
        <f t="shared" si="57"/>
        <v>0</v>
      </c>
      <c r="AR211" s="296">
        <f t="shared" si="57"/>
        <v>0</v>
      </c>
      <c r="AS211" s="296">
        <f t="shared" si="57"/>
        <v>0</v>
      </c>
      <c r="AT211" s="296">
        <v>1863</v>
      </c>
      <c r="AU211" s="296">
        <v>503</v>
      </c>
      <c r="AV211" s="296">
        <f t="shared" si="66"/>
        <v>2366</v>
      </c>
      <c r="AW211" s="296"/>
      <c r="AX211" s="296"/>
      <c r="AY211" s="296"/>
      <c r="AZ211" s="296">
        <v>1863</v>
      </c>
      <c r="BA211" s="296">
        <v>503</v>
      </c>
      <c r="BB211" s="296">
        <v>2366</v>
      </c>
      <c r="BC211" s="499">
        <f t="shared" si="64"/>
        <v>0</v>
      </c>
      <c r="BD211" s="499">
        <f t="shared" si="64"/>
        <v>0</v>
      </c>
      <c r="BE211" s="499">
        <f t="shared" si="64"/>
        <v>0</v>
      </c>
      <c r="BF211" s="296">
        <v>1863</v>
      </c>
      <c r="BG211" s="296">
        <v>503</v>
      </c>
      <c r="BH211" s="296">
        <f t="shared" si="67"/>
        <v>2366</v>
      </c>
      <c r="BI211" s="723"/>
      <c r="BJ211" s="723"/>
      <c r="BK211" s="723"/>
      <c r="BL211" s="723"/>
      <c r="BM211" s="723"/>
      <c r="BN211" s="723"/>
      <c r="BO211" s="723"/>
      <c r="BP211" s="725"/>
      <c r="BQ211" s="723"/>
      <c r="BR211" s="723"/>
      <c r="BS211" s="723"/>
      <c r="BT211" s="723"/>
      <c r="BU211" s="723"/>
      <c r="BV211" s="723"/>
      <c r="BW211" s="723"/>
      <c r="BX211" s="723"/>
      <c r="BY211" s="725"/>
      <c r="BZ211" s="723"/>
      <c r="CA211" s="723"/>
      <c r="CB211" s="516">
        <v>1863062</v>
      </c>
      <c r="CC211" s="297">
        <v>2366</v>
      </c>
      <c r="CD211" s="723"/>
    </row>
    <row r="212" spans="1:82" ht="39" customHeight="1" x14ac:dyDescent="0.2">
      <c r="A212" s="703"/>
      <c r="B212" s="292" t="s">
        <v>1381</v>
      </c>
      <c r="C212" s="329" t="s">
        <v>817</v>
      </c>
      <c r="D212" s="314"/>
      <c r="E212" s="512" t="s">
        <v>799</v>
      </c>
      <c r="F212" s="334" t="s">
        <v>818</v>
      </c>
      <c r="G212" s="296"/>
      <c r="H212" s="296"/>
      <c r="I212" s="296"/>
      <c r="J212" s="296"/>
      <c r="K212" s="296"/>
      <c r="L212" s="296"/>
      <c r="M212" s="296"/>
      <c r="N212" s="296"/>
      <c r="O212" s="296"/>
      <c r="P212" s="296"/>
      <c r="Q212" s="296"/>
      <c r="R212" s="296"/>
      <c r="S212" s="296"/>
      <c r="T212" s="296"/>
      <c r="U212" s="296"/>
      <c r="V212" s="296"/>
      <c r="W212" s="296"/>
      <c r="X212" s="296"/>
      <c r="Y212" s="296"/>
      <c r="Z212" s="296"/>
      <c r="AA212" s="296"/>
      <c r="AB212" s="296"/>
      <c r="AC212" s="296"/>
      <c r="AD212" s="296"/>
      <c r="AE212" s="296"/>
      <c r="AF212" s="296"/>
      <c r="AG212" s="296"/>
      <c r="AH212" s="299"/>
      <c r="AI212" s="296"/>
      <c r="AJ212" s="299"/>
      <c r="AK212" s="296">
        <f t="shared" si="61"/>
        <v>1050</v>
      </c>
      <c r="AL212" s="296">
        <f t="shared" si="61"/>
        <v>284</v>
      </c>
      <c r="AM212" s="296">
        <f t="shared" si="61"/>
        <v>1334</v>
      </c>
      <c r="AN212" s="335">
        <v>1050</v>
      </c>
      <c r="AO212" s="296">
        <v>284</v>
      </c>
      <c r="AP212" s="296">
        <f t="shared" si="65"/>
        <v>1334</v>
      </c>
      <c r="AQ212" s="296">
        <f t="shared" si="57"/>
        <v>560</v>
      </c>
      <c r="AR212" s="296">
        <f t="shared" si="57"/>
        <v>154</v>
      </c>
      <c r="AS212" s="296">
        <f t="shared" si="57"/>
        <v>714</v>
      </c>
      <c r="AT212" s="296">
        <v>1610</v>
      </c>
      <c r="AU212" s="296">
        <v>438</v>
      </c>
      <c r="AV212" s="296">
        <f t="shared" si="66"/>
        <v>2048</v>
      </c>
      <c r="AW212" s="296"/>
      <c r="AX212" s="296"/>
      <c r="AY212" s="296"/>
      <c r="AZ212" s="296">
        <v>1610</v>
      </c>
      <c r="BA212" s="296">
        <v>438</v>
      </c>
      <c r="BB212" s="296">
        <v>2048</v>
      </c>
      <c r="BC212" s="499">
        <f t="shared" si="64"/>
        <v>0</v>
      </c>
      <c r="BD212" s="499">
        <f t="shared" si="64"/>
        <v>-3</v>
      </c>
      <c r="BE212" s="499">
        <f t="shared" si="64"/>
        <v>-3</v>
      </c>
      <c r="BF212" s="296">
        <v>1610</v>
      </c>
      <c r="BG212" s="296">
        <v>435</v>
      </c>
      <c r="BH212" s="296">
        <f t="shared" si="67"/>
        <v>2045</v>
      </c>
      <c r="BI212" s="723"/>
      <c r="BJ212" s="723"/>
      <c r="BK212" s="723"/>
      <c r="BL212" s="723"/>
      <c r="BM212" s="723"/>
      <c r="BN212" s="723"/>
      <c r="BO212" s="723"/>
      <c r="BP212" s="725"/>
      <c r="BQ212" s="723"/>
      <c r="BR212" s="723"/>
      <c r="BS212" s="723"/>
      <c r="BT212" s="723"/>
      <c r="BU212" s="723"/>
      <c r="BV212" s="723"/>
      <c r="BW212" s="723"/>
      <c r="BX212" s="723"/>
      <c r="BY212" s="725"/>
      <c r="BZ212" s="723"/>
      <c r="CA212" s="723"/>
      <c r="CB212" s="516">
        <v>1610000</v>
      </c>
      <c r="CC212" s="297">
        <v>2045</v>
      </c>
      <c r="CD212" s="723"/>
    </row>
    <row r="213" spans="1:82" ht="33" customHeight="1" x14ac:dyDescent="0.2">
      <c r="A213" s="703"/>
      <c r="B213" s="292" t="s">
        <v>1381</v>
      </c>
      <c r="C213" s="329" t="s">
        <v>819</v>
      </c>
      <c r="D213" s="314"/>
      <c r="E213" s="512" t="s">
        <v>799</v>
      </c>
      <c r="F213" s="334" t="s">
        <v>820</v>
      </c>
      <c r="G213" s="296"/>
      <c r="H213" s="296"/>
      <c r="I213" s="296"/>
      <c r="J213" s="296"/>
      <c r="K213" s="296"/>
      <c r="L213" s="296"/>
      <c r="M213" s="296"/>
      <c r="N213" s="296"/>
      <c r="O213" s="296"/>
      <c r="P213" s="296"/>
      <c r="Q213" s="296"/>
      <c r="R213" s="296"/>
      <c r="S213" s="296"/>
      <c r="T213" s="296"/>
      <c r="U213" s="296"/>
      <c r="V213" s="296"/>
      <c r="W213" s="296"/>
      <c r="X213" s="296"/>
      <c r="Y213" s="296"/>
      <c r="Z213" s="296"/>
      <c r="AA213" s="296"/>
      <c r="AB213" s="296"/>
      <c r="AC213" s="296"/>
      <c r="AD213" s="296"/>
      <c r="AE213" s="296"/>
      <c r="AF213" s="296"/>
      <c r="AG213" s="296"/>
      <c r="AH213" s="299"/>
      <c r="AI213" s="296"/>
      <c r="AJ213" s="299"/>
      <c r="AK213" s="296">
        <f t="shared" si="61"/>
        <v>900</v>
      </c>
      <c r="AL213" s="296">
        <f t="shared" si="61"/>
        <v>243</v>
      </c>
      <c r="AM213" s="296">
        <f t="shared" si="61"/>
        <v>1143</v>
      </c>
      <c r="AN213" s="335">
        <v>900</v>
      </c>
      <c r="AO213" s="296">
        <v>243</v>
      </c>
      <c r="AP213" s="296">
        <f t="shared" si="65"/>
        <v>1143</v>
      </c>
      <c r="AQ213" s="296">
        <f t="shared" si="57"/>
        <v>0</v>
      </c>
      <c r="AR213" s="296">
        <f t="shared" si="57"/>
        <v>0</v>
      </c>
      <c r="AS213" s="296">
        <f t="shared" si="57"/>
        <v>0</v>
      </c>
      <c r="AT213" s="296">
        <v>900</v>
      </c>
      <c r="AU213" s="296">
        <v>243</v>
      </c>
      <c r="AV213" s="296">
        <f t="shared" si="66"/>
        <v>1143</v>
      </c>
      <c r="AW213" s="296"/>
      <c r="AX213" s="296"/>
      <c r="AY213" s="296"/>
      <c r="AZ213" s="296">
        <v>900</v>
      </c>
      <c r="BA213" s="296">
        <v>243</v>
      </c>
      <c r="BB213" s="296">
        <v>1143</v>
      </c>
      <c r="BC213" s="499">
        <f t="shared" si="64"/>
        <v>0</v>
      </c>
      <c r="BD213" s="499">
        <f t="shared" si="64"/>
        <v>0</v>
      </c>
      <c r="BE213" s="499">
        <f t="shared" si="64"/>
        <v>0</v>
      </c>
      <c r="BF213" s="296">
        <v>900</v>
      </c>
      <c r="BG213" s="296">
        <v>243</v>
      </c>
      <c r="BH213" s="296">
        <f t="shared" si="67"/>
        <v>1143</v>
      </c>
      <c r="BI213" s="723"/>
      <c r="BJ213" s="723"/>
      <c r="BK213" s="723"/>
      <c r="BL213" s="723"/>
      <c r="BM213" s="723"/>
      <c r="BN213" s="723"/>
      <c r="BO213" s="723"/>
      <c r="BP213" s="725"/>
      <c r="BQ213" s="723"/>
      <c r="BR213" s="723"/>
      <c r="BS213" s="723"/>
      <c r="BT213" s="723"/>
      <c r="BU213" s="723"/>
      <c r="BV213" s="723"/>
      <c r="BW213" s="723"/>
      <c r="BX213" s="723"/>
      <c r="BY213" s="725"/>
      <c r="BZ213" s="723"/>
      <c r="CA213" s="723"/>
      <c r="CB213" s="516">
        <v>900000</v>
      </c>
      <c r="CC213" s="297">
        <v>1143</v>
      </c>
      <c r="CD213" s="723"/>
    </row>
    <row r="214" spans="1:82" ht="36.75" customHeight="1" x14ac:dyDescent="0.2">
      <c r="A214" s="703"/>
      <c r="B214" s="292" t="s">
        <v>1381</v>
      </c>
      <c r="C214" s="329" t="s">
        <v>1487</v>
      </c>
      <c r="D214" s="314"/>
      <c r="E214" s="512" t="s">
        <v>799</v>
      </c>
      <c r="F214" s="294" t="s">
        <v>1488</v>
      </c>
      <c r="G214" s="296"/>
      <c r="H214" s="296"/>
      <c r="I214" s="296"/>
      <c r="J214" s="296"/>
      <c r="K214" s="296"/>
      <c r="L214" s="296"/>
      <c r="M214" s="296"/>
      <c r="N214" s="296"/>
      <c r="O214" s="296"/>
      <c r="P214" s="296"/>
      <c r="Q214" s="296"/>
      <c r="R214" s="296"/>
      <c r="S214" s="296"/>
      <c r="T214" s="296"/>
      <c r="U214" s="296"/>
      <c r="V214" s="296"/>
      <c r="W214" s="296"/>
      <c r="X214" s="296"/>
      <c r="Y214" s="296"/>
      <c r="Z214" s="296"/>
      <c r="AA214" s="296"/>
      <c r="AB214" s="296"/>
      <c r="AC214" s="296"/>
      <c r="AD214" s="296"/>
      <c r="AE214" s="296"/>
      <c r="AF214" s="296"/>
      <c r="AG214" s="296"/>
      <c r="AH214" s="299"/>
      <c r="AI214" s="296"/>
      <c r="AJ214" s="299"/>
      <c r="AK214" s="296"/>
      <c r="AL214" s="296"/>
      <c r="AM214" s="296"/>
      <c r="AN214" s="335"/>
      <c r="AO214" s="296"/>
      <c r="AP214" s="296"/>
      <c r="AQ214" s="296"/>
      <c r="AR214" s="296"/>
      <c r="AS214" s="296"/>
      <c r="AT214" s="296"/>
      <c r="AU214" s="296"/>
      <c r="AV214" s="296"/>
      <c r="AW214" s="296"/>
      <c r="AX214" s="296"/>
      <c r="AY214" s="296"/>
      <c r="AZ214" s="296"/>
      <c r="BA214" s="296"/>
      <c r="BB214" s="296"/>
      <c r="BC214" s="499">
        <f t="shared" si="64"/>
        <v>19</v>
      </c>
      <c r="BD214" s="499">
        <f t="shared" si="64"/>
        <v>5</v>
      </c>
      <c r="BE214" s="499">
        <f t="shared" si="64"/>
        <v>24</v>
      </c>
      <c r="BF214" s="296">
        <v>19</v>
      </c>
      <c r="BG214" s="296">
        <v>5</v>
      </c>
      <c r="BH214" s="296">
        <f t="shared" si="67"/>
        <v>24</v>
      </c>
      <c r="BI214" s="723"/>
      <c r="BJ214" s="723"/>
      <c r="BK214" s="723"/>
      <c r="BL214" s="723"/>
      <c r="BM214" s="723"/>
      <c r="BN214" s="723"/>
      <c r="BO214" s="723"/>
      <c r="BP214" s="725"/>
      <c r="BQ214" s="723"/>
      <c r="BR214" s="723"/>
      <c r="BS214" s="723"/>
      <c r="BT214" s="723"/>
      <c r="BU214" s="723"/>
      <c r="BV214" s="723"/>
      <c r="BW214" s="723"/>
      <c r="BX214" s="723"/>
      <c r="BY214" s="725"/>
      <c r="BZ214" s="723"/>
      <c r="CA214" s="723"/>
      <c r="CB214" s="516">
        <v>18700</v>
      </c>
      <c r="CC214" s="297">
        <v>24</v>
      </c>
      <c r="CD214" s="723"/>
    </row>
    <row r="215" spans="1:82" ht="34.5" customHeight="1" x14ac:dyDescent="0.2">
      <c r="A215" s="703"/>
      <c r="B215" s="292" t="s">
        <v>1381</v>
      </c>
      <c r="C215" s="329" t="s">
        <v>1489</v>
      </c>
      <c r="D215" s="314"/>
      <c r="E215" s="512" t="s">
        <v>799</v>
      </c>
      <c r="F215" s="294" t="s">
        <v>1490</v>
      </c>
      <c r="G215" s="296"/>
      <c r="H215" s="296"/>
      <c r="I215" s="296"/>
      <c r="J215" s="296"/>
      <c r="K215" s="296"/>
      <c r="L215" s="296"/>
      <c r="M215" s="296"/>
      <c r="N215" s="296"/>
      <c r="O215" s="296"/>
      <c r="P215" s="296"/>
      <c r="Q215" s="296"/>
      <c r="R215" s="296"/>
      <c r="S215" s="296"/>
      <c r="T215" s="296"/>
      <c r="U215" s="296"/>
      <c r="V215" s="296"/>
      <c r="W215" s="296"/>
      <c r="X215" s="296"/>
      <c r="Y215" s="296"/>
      <c r="Z215" s="296"/>
      <c r="AA215" s="296"/>
      <c r="AB215" s="296"/>
      <c r="AC215" s="296"/>
      <c r="AD215" s="296"/>
      <c r="AE215" s="296"/>
      <c r="AF215" s="296"/>
      <c r="AG215" s="296"/>
      <c r="AH215" s="299"/>
      <c r="AI215" s="296"/>
      <c r="AJ215" s="299"/>
      <c r="AK215" s="296"/>
      <c r="AL215" s="296"/>
      <c r="AM215" s="296"/>
      <c r="AN215" s="335"/>
      <c r="AO215" s="296"/>
      <c r="AP215" s="296"/>
      <c r="AQ215" s="296"/>
      <c r="AR215" s="296"/>
      <c r="AS215" s="296"/>
      <c r="AT215" s="296"/>
      <c r="AU215" s="296"/>
      <c r="AV215" s="296"/>
      <c r="AW215" s="296"/>
      <c r="AX215" s="296"/>
      <c r="AY215" s="296"/>
      <c r="AZ215" s="296"/>
      <c r="BA215" s="296"/>
      <c r="BB215" s="296"/>
      <c r="BC215" s="499">
        <f t="shared" si="64"/>
        <v>0</v>
      </c>
      <c r="BD215" s="499">
        <f t="shared" si="64"/>
        <v>0</v>
      </c>
      <c r="BE215" s="499">
        <f t="shared" si="64"/>
        <v>0</v>
      </c>
      <c r="BF215" s="296">
        <v>0</v>
      </c>
      <c r="BG215" s="296"/>
      <c r="BH215" s="296">
        <f t="shared" si="67"/>
        <v>0</v>
      </c>
      <c r="BI215" s="723"/>
      <c r="BJ215" s="723"/>
      <c r="BK215" s="723"/>
      <c r="BL215" s="723"/>
      <c r="BM215" s="723"/>
      <c r="BN215" s="723"/>
      <c r="BO215" s="723"/>
      <c r="BP215" s="725"/>
      <c r="BQ215" s="723"/>
      <c r="BR215" s="723"/>
      <c r="BS215" s="723"/>
      <c r="BT215" s="723"/>
      <c r="BU215" s="723"/>
      <c r="BV215" s="723"/>
      <c r="BW215" s="723"/>
      <c r="BX215" s="723"/>
      <c r="BY215" s="725"/>
      <c r="BZ215" s="723"/>
      <c r="CA215" s="723"/>
      <c r="CB215" s="516">
        <v>0</v>
      </c>
      <c r="CC215" s="297">
        <v>0</v>
      </c>
      <c r="CD215" s="723"/>
    </row>
    <row r="216" spans="1:82" ht="35.25" customHeight="1" x14ac:dyDescent="0.2">
      <c r="A216" s="703"/>
      <c r="B216" s="292" t="s">
        <v>1381</v>
      </c>
      <c r="C216" s="329" t="s">
        <v>1491</v>
      </c>
      <c r="D216" s="314"/>
      <c r="E216" s="512" t="s">
        <v>799</v>
      </c>
      <c r="F216" s="294" t="s">
        <v>1492</v>
      </c>
      <c r="G216" s="296"/>
      <c r="H216" s="296"/>
      <c r="I216" s="296"/>
      <c r="J216" s="296"/>
      <c r="K216" s="296"/>
      <c r="L216" s="296"/>
      <c r="M216" s="296"/>
      <c r="N216" s="296"/>
      <c r="O216" s="296"/>
      <c r="P216" s="296"/>
      <c r="Q216" s="296"/>
      <c r="R216" s="296"/>
      <c r="S216" s="296"/>
      <c r="T216" s="296"/>
      <c r="U216" s="296"/>
      <c r="V216" s="296"/>
      <c r="W216" s="296"/>
      <c r="X216" s="296"/>
      <c r="Y216" s="296"/>
      <c r="Z216" s="296"/>
      <c r="AA216" s="296"/>
      <c r="AB216" s="296"/>
      <c r="AC216" s="296"/>
      <c r="AD216" s="296"/>
      <c r="AE216" s="296"/>
      <c r="AF216" s="296"/>
      <c r="AG216" s="296"/>
      <c r="AH216" s="299"/>
      <c r="AI216" s="296"/>
      <c r="AJ216" s="299"/>
      <c r="AK216" s="296"/>
      <c r="AL216" s="296"/>
      <c r="AM216" s="296"/>
      <c r="AN216" s="335"/>
      <c r="AO216" s="296"/>
      <c r="AP216" s="296"/>
      <c r="AQ216" s="296"/>
      <c r="AR216" s="296"/>
      <c r="AS216" s="296"/>
      <c r="AT216" s="296"/>
      <c r="AU216" s="296"/>
      <c r="AV216" s="296"/>
      <c r="AW216" s="296"/>
      <c r="AX216" s="296"/>
      <c r="AY216" s="296"/>
      <c r="AZ216" s="296"/>
      <c r="BA216" s="296"/>
      <c r="BB216" s="296"/>
      <c r="BC216" s="499">
        <f t="shared" si="64"/>
        <v>80</v>
      </c>
      <c r="BD216" s="499">
        <f t="shared" si="64"/>
        <v>0</v>
      </c>
      <c r="BE216" s="499">
        <f t="shared" si="64"/>
        <v>80</v>
      </c>
      <c r="BF216" s="296">
        <v>80</v>
      </c>
      <c r="BG216" s="296"/>
      <c r="BH216" s="296">
        <f t="shared" si="67"/>
        <v>80</v>
      </c>
      <c r="BI216" s="723"/>
      <c r="BJ216" s="723"/>
      <c r="BK216" s="723"/>
      <c r="BL216" s="723"/>
      <c r="BM216" s="723"/>
      <c r="BN216" s="723"/>
      <c r="BO216" s="723"/>
      <c r="BP216" s="725"/>
      <c r="BQ216" s="723"/>
      <c r="BR216" s="723"/>
      <c r="BS216" s="723"/>
      <c r="BT216" s="723"/>
      <c r="BU216" s="723"/>
      <c r="BV216" s="723"/>
      <c r="BW216" s="723"/>
      <c r="BX216" s="723"/>
      <c r="BY216" s="725"/>
      <c r="BZ216" s="723"/>
      <c r="CA216" s="723"/>
      <c r="CB216" s="516">
        <v>80000</v>
      </c>
      <c r="CC216" s="297">
        <v>80</v>
      </c>
      <c r="CD216" s="723"/>
    </row>
    <row r="217" spans="1:82" ht="45" customHeight="1" x14ac:dyDescent="0.2">
      <c r="A217" s="703"/>
      <c r="B217" s="292" t="s">
        <v>1381</v>
      </c>
      <c r="C217" s="329" t="s">
        <v>1493</v>
      </c>
      <c r="D217" s="314"/>
      <c r="E217" s="512" t="s">
        <v>799</v>
      </c>
      <c r="F217" s="294" t="s">
        <v>1494</v>
      </c>
      <c r="G217" s="296"/>
      <c r="H217" s="296"/>
      <c r="I217" s="296"/>
      <c r="J217" s="296"/>
      <c r="K217" s="296"/>
      <c r="L217" s="296"/>
      <c r="M217" s="296"/>
      <c r="N217" s="296"/>
      <c r="O217" s="296"/>
      <c r="P217" s="296"/>
      <c r="Q217" s="296"/>
      <c r="R217" s="296"/>
      <c r="S217" s="296"/>
      <c r="T217" s="296"/>
      <c r="U217" s="296"/>
      <c r="V217" s="296"/>
      <c r="W217" s="296"/>
      <c r="X217" s="296"/>
      <c r="Y217" s="296"/>
      <c r="Z217" s="296"/>
      <c r="AA217" s="296"/>
      <c r="AB217" s="296"/>
      <c r="AC217" s="296"/>
      <c r="AD217" s="296"/>
      <c r="AE217" s="296"/>
      <c r="AF217" s="296"/>
      <c r="AG217" s="296"/>
      <c r="AH217" s="299"/>
      <c r="AI217" s="296"/>
      <c r="AJ217" s="299"/>
      <c r="AK217" s="296"/>
      <c r="AL217" s="296"/>
      <c r="AM217" s="296"/>
      <c r="AN217" s="335"/>
      <c r="AO217" s="296"/>
      <c r="AP217" s="296"/>
      <c r="AQ217" s="296"/>
      <c r="AR217" s="296"/>
      <c r="AS217" s="296"/>
      <c r="AT217" s="296"/>
      <c r="AU217" s="296"/>
      <c r="AV217" s="296"/>
      <c r="AW217" s="296"/>
      <c r="AX217" s="296"/>
      <c r="AY217" s="296"/>
      <c r="AZ217" s="296"/>
      <c r="BA217" s="296"/>
      <c r="BB217" s="296"/>
      <c r="BC217" s="499">
        <f t="shared" si="64"/>
        <v>990</v>
      </c>
      <c r="BD217" s="499">
        <f t="shared" si="64"/>
        <v>267</v>
      </c>
      <c r="BE217" s="499">
        <f t="shared" si="64"/>
        <v>1257</v>
      </c>
      <c r="BF217" s="296">
        <v>990</v>
      </c>
      <c r="BG217" s="296">
        <v>267</v>
      </c>
      <c r="BH217" s="296">
        <f t="shared" si="67"/>
        <v>1257</v>
      </c>
      <c r="BI217" s="723"/>
      <c r="BJ217" s="723"/>
      <c r="BK217" s="723"/>
      <c r="BL217" s="723"/>
      <c r="BM217" s="723"/>
      <c r="BN217" s="723"/>
      <c r="BO217" s="723"/>
      <c r="BP217" s="725"/>
      <c r="BQ217" s="723"/>
      <c r="BR217" s="723"/>
      <c r="BS217" s="723"/>
      <c r="BT217" s="723"/>
      <c r="BU217" s="723"/>
      <c r="BV217" s="723"/>
      <c r="BW217" s="723"/>
      <c r="BX217" s="723"/>
      <c r="BY217" s="725"/>
      <c r="BZ217" s="723"/>
      <c r="CA217" s="723"/>
      <c r="CB217" s="516">
        <v>990000</v>
      </c>
      <c r="CC217" s="297">
        <v>1257</v>
      </c>
      <c r="CD217" s="723"/>
    </row>
    <row r="218" spans="1:82" ht="36" customHeight="1" x14ac:dyDescent="0.2">
      <c r="A218" s="703"/>
      <c r="B218" s="292" t="s">
        <v>1381</v>
      </c>
      <c r="C218" s="293" t="s">
        <v>1495</v>
      </c>
      <c r="D218" s="314" t="s">
        <v>807</v>
      </c>
      <c r="E218" s="512" t="s">
        <v>799</v>
      </c>
      <c r="F218" s="294" t="s">
        <v>1496</v>
      </c>
      <c r="G218" s="296"/>
      <c r="H218" s="296"/>
      <c r="I218" s="296"/>
      <c r="J218" s="296"/>
      <c r="K218" s="296"/>
      <c r="L218" s="296"/>
      <c r="M218" s="296"/>
      <c r="N218" s="296"/>
      <c r="O218" s="296"/>
      <c r="P218" s="296"/>
      <c r="Q218" s="296"/>
      <c r="R218" s="296"/>
      <c r="S218" s="296"/>
      <c r="T218" s="296"/>
      <c r="U218" s="296"/>
      <c r="V218" s="296"/>
      <c r="W218" s="296"/>
      <c r="X218" s="296"/>
      <c r="Y218" s="296"/>
      <c r="Z218" s="296"/>
      <c r="AA218" s="296"/>
      <c r="AB218" s="296"/>
      <c r="AC218" s="296"/>
      <c r="AD218" s="296"/>
      <c r="AE218" s="296"/>
      <c r="AF218" s="296"/>
      <c r="AG218" s="296"/>
      <c r="AH218" s="299"/>
      <c r="AI218" s="296"/>
      <c r="AJ218" s="299"/>
      <c r="AK218" s="296"/>
      <c r="AL218" s="296"/>
      <c r="AM218" s="296"/>
      <c r="AN218" s="335"/>
      <c r="AO218" s="296"/>
      <c r="AP218" s="296"/>
      <c r="AQ218" s="296"/>
      <c r="AR218" s="296"/>
      <c r="AS218" s="296"/>
      <c r="AT218" s="296"/>
      <c r="AU218" s="296"/>
      <c r="AV218" s="296"/>
      <c r="AW218" s="296"/>
      <c r="AX218" s="296"/>
      <c r="AY218" s="296"/>
      <c r="AZ218" s="296"/>
      <c r="BA218" s="296"/>
      <c r="BB218" s="296"/>
      <c r="BC218" s="499">
        <f t="shared" si="64"/>
        <v>15</v>
      </c>
      <c r="BD218" s="499">
        <f t="shared" si="64"/>
        <v>0</v>
      </c>
      <c r="BE218" s="499">
        <f t="shared" si="64"/>
        <v>15</v>
      </c>
      <c r="BF218" s="296">
        <v>15</v>
      </c>
      <c r="BG218" s="296"/>
      <c r="BH218" s="296">
        <f t="shared" si="67"/>
        <v>15</v>
      </c>
      <c r="BI218" s="723"/>
      <c r="BJ218" s="723"/>
      <c r="BK218" s="723"/>
      <c r="BL218" s="723"/>
      <c r="BM218" s="723"/>
      <c r="BN218" s="723"/>
      <c r="BO218" s="723"/>
      <c r="BP218" s="725"/>
      <c r="BQ218" s="723"/>
      <c r="BR218" s="723"/>
      <c r="BS218" s="723"/>
      <c r="BT218" s="723"/>
      <c r="BU218" s="723"/>
      <c r="BV218" s="723"/>
      <c r="BW218" s="723"/>
      <c r="BX218" s="723"/>
      <c r="BY218" s="725"/>
      <c r="BZ218" s="723"/>
      <c r="CA218" s="723"/>
      <c r="CB218" s="516">
        <v>14200</v>
      </c>
      <c r="CC218" s="297">
        <v>14</v>
      </c>
      <c r="CD218" s="723"/>
    </row>
    <row r="219" spans="1:82" ht="38.25" customHeight="1" x14ac:dyDescent="0.2">
      <c r="A219" s="703"/>
      <c r="B219" s="292" t="s">
        <v>1381</v>
      </c>
      <c r="C219" s="293" t="s">
        <v>1497</v>
      </c>
      <c r="D219" s="314"/>
      <c r="E219" s="512" t="s">
        <v>799</v>
      </c>
      <c r="F219" s="294" t="s">
        <v>1498</v>
      </c>
      <c r="G219" s="296"/>
      <c r="H219" s="296"/>
      <c r="I219" s="296"/>
      <c r="J219" s="296"/>
      <c r="K219" s="296"/>
      <c r="L219" s="296"/>
      <c r="M219" s="296"/>
      <c r="N219" s="296"/>
      <c r="O219" s="296"/>
      <c r="P219" s="296"/>
      <c r="Q219" s="296"/>
      <c r="R219" s="296"/>
      <c r="S219" s="296"/>
      <c r="T219" s="296"/>
      <c r="U219" s="296"/>
      <c r="V219" s="296"/>
      <c r="W219" s="296"/>
      <c r="X219" s="296"/>
      <c r="Y219" s="296"/>
      <c r="Z219" s="296"/>
      <c r="AA219" s="296"/>
      <c r="AB219" s="296"/>
      <c r="AC219" s="296"/>
      <c r="AD219" s="296"/>
      <c r="AE219" s="296"/>
      <c r="AF219" s="296"/>
      <c r="AG219" s="296"/>
      <c r="AH219" s="299"/>
      <c r="AI219" s="296"/>
      <c r="AJ219" s="299"/>
      <c r="AK219" s="296"/>
      <c r="AL219" s="296"/>
      <c r="AM219" s="296"/>
      <c r="AN219" s="335"/>
      <c r="AO219" s="296"/>
      <c r="AP219" s="296"/>
      <c r="AQ219" s="296"/>
      <c r="AR219" s="296"/>
      <c r="AS219" s="296"/>
      <c r="AT219" s="296"/>
      <c r="AU219" s="296"/>
      <c r="AV219" s="296"/>
      <c r="AW219" s="296"/>
      <c r="AX219" s="296"/>
      <c r="AY219" s="296"/>
      <c r="AZ219" s="296"/>
      <c r="BA219" s="296"/>
      <c r="BB219" s="296"/>
      <c r="BC219" s="499">
        <f t="shared" si="64"/>
        <v>3437</v>
      </c>
      <c r="BD219" s="499">
        <f t="shared" si="64"/>
        <v>928</v>
      </c>
      <c r="BE219" s="499">
        <f t="shared" si="64"/>
        <v>4365</v>
      </c>
      <c r="BF219" s="296">
        <v>3437</v>
      </c>
      <c r="BG219" s="296">
        <v>928</v>
      </c>
      <c r="BH219" s="296">
        <f t="shared" si="67"/>
        <v>4365</v>
      </c>
      <c r="BI219" s="723"/>
      <c r="BJ219" s="723"/>
      <c r="BK219" s="723"/>
      <c r="BL219" s="723"/>
      <c r="BM219" s="723"/>
      <c r="BN219" s="723"/>
      <c r="BO219" s="723"/>
      <c r="BP219" s="725"/>
      <c r="BQ219" s="723"/>
      <c r="BR219" s="723"/>
      <c r="BS219" s="723"/>
      <c r="BT219" s="723"/>
      <c r="BU219" s="723"/>
      <c r="BV219" s="723"/>
      <c r="BW219" s="723"/>
      <c r="BX219" s="723"/>
      <c r="BY219" s="725"/>
      <c r="BZ219" s="723"/>
      <c r="CA219" s="723"/>
      <c r="CB219" s="516">
        <v>3436880</v>
      </c>
      <c r="CC219" s="297">
        <v>3437</v>
      </c>
      <c r="CD219" s="723"/>
    </row>
    <row r="220" spans="1:82" s="550" customFormat="1" ht="34.5" customHeight="1" x14ac:dyDescent="0.2">
      <c r="A220" s="703"/>
      <c r="B220" s="292" t="s">
        <v>1381</v>
      </c>
      <c r="C220" s="329" t="s">
        <v>821</v>
      </c>
      <c r="D220" s="316" t="s">
        <v>729</v>
      </c>
      <c r="E220" s="512" t="s">
        <v>822</v>
      </c>
      <c r="F220" s="334" t="s">
        <v>823</v>
      </c>
      <c r="G220" s="516"/>
      <c r="H220" s="516"/>
      <c r="I220" s="516"/>
      <c r="J220" s="516"/>
      <c r="K220" s="516"/>
      <c r="L220" s="51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6"/>
      <c r="W220" s="296"/>
      <c r="X220" s="296"/>
      <c r="Y220" s="296"/>
      <c r="Z220" s="296"/>
      <c r="AA220" s="296"/>
      <c r="AB220" s="296"/>
      <c r="AC220" s="296"/>
      <c r="AD220" s="296"/>
      <c r="AE220" s="296"/>
      <c r="AF220" s="296"/>
      <c r="AG220" s="296"/>
      <c r="AH220" s="299"/>
      <c r="AI220" s="296"/>
      <c r="AJ220" s="299"/>
      <c r="AK220" s="296">
        <f t="shared" si="61"/>
        <v>134172</v>
      </c>
      <c r="AL220" s="296">
        <f t="shared" si="61"/>
        <v>36226</v>
      </c>
      <c r="AM220" s="296">
        <f t="shared" si="61"/>
        <v>170398</v>
      </c>
      <c r="AN220" s="335">
        <v>134172</v>
      </c>
      <c r="AO220" s="296">
        <v>36226</v>
      </c>
      <c r="AP220" s="296">
        <f t="shared" si="65"/>
        <v>170398</v>
      </c>
      <c r="AQ220" s="296">
        <f t="shared" si="57"/>
        <v>0</v>
      </c>
      <c r="AR220" s="296">
        <f t="shared" si="57"/>
        <v>0</v>
      </c>
      <c r="AS220" s="296">
        <f t="shared" si="57"/>
        <v>0</v>
      </c>
      <c r="AT220" s="296">
        <v>134172</v>
      </c>
      <c r="AU220" s="296">
        <v>36226</v>
      </c>
      <c r="AV220" s="296">
        <f t="shared" si="66"/>
        <v>170398</v>
      </c>
      <c r="AW220" s="296"/>
      <c r="AX220" s="296"/>
      <c r="AY220" s="296"/>
      <c r="AZ220" s="296">
        <v>134172</v>
      </c>
      <c r="BA220" s="296">
        <v>36226</v>
      </c>
      <c r="BB220" s="296">
        <v>170398</v>
      </c>
      <c r="BC220" s="499">
        <f t="shared" si="64"/>
        <v>-795</v>
      </c>
      <c r="BD220" s="499">
        <f t="shared" si="64"/>
        <v>-36226</v>
      </c>
      <c r="BE220" s="499">
        <f t="shared" si="64"/>
        <v>-37021</v>
      </c>
      <c r="BF220" s="296">
        <v>133377</v>
      </c>
      <c r="BG220" s="296">
        <v>0</v>
      </c>
      <c r="BH220" s="296">
        <f>SUM(BF220:BG220)</f>
        <v>133377</v>
      </c>
      <c r="BI220" s="723"/>
      <c r="BJ220" s="723"/>
      <c r="BK220" s="723"/>
      <c r="BL220" s="723"/>
      <c r="BM220" s="723"/>
      <c r="BN220" s="723"/>
      <c r="BO220" s="723"/>
      <c r="BP220" s="725"/>
      <c r="BQ220" s="723"/>
      <c r="BR220" s="723"/>
      <c r="BS220" s="723"/>
      <c r="BT220" s="723"/>
      <c r="BU220" s="723"/>
      <c r="BV220" s="723"/>
      <c r="BW220" s="723"/>
      <c r="BX220" s="723"/>
      <c r="BY220" s="725"/>
      <c r="BZ220" s="723"/>
      <c r="CA220" s="723"/>
      <c r="CB220" s="516">
        <v>133376992</v>
      </c>
      <c r="CC220" s="297">
        <v>133377</v>
      </c>
      <c r="CD220" s="723"/>
    </row>
    <row r="221" spans="1:82" s="550" customFormat="1" ht="33" customHeight="1" x14ac:dyDescent="0.2">
      <c r="A221" s="703"/>
      <c r="B221" s="292" t="s">
        <v>1381</v>
      </c>
      <c r="C221" s="329" t="s">
        <v>1499</v>
      </c>
      <c r="D221" s="316"/>
      <c r="E221" s="512" t="s">
        <v>822</v>
      </c>
      <c r="F221" s="294" t="s">
        <v>1500</v>
      </c>
      <c r="G221" s="296"/>
      <c r="H221" s="296"/>
      <c r="I221" s="296"/>
      <c r="J221" s="296"/>
      <c r="K221" s="296"/>
      <c r="L221" s="296"/>
      <c r="M221" s="296"/>
      <c r="N221" s="296"/>
      <c r="O221" s="296"/>
      <c r="P221" s="296"/>
      <c r="Q221" s="296"/>
      <c r="R221" s="296"/>
      <c r="S221" s="296"/>
      <c r="T221" s="296"/>
      <c r="U221" s="296"/>
      <c r="V221" s="296"/>
      <c r="W221" s="296"/>
      <c r="X221" s="296"/>
      <c r="Y221" s="296"/>
      <c r="Z221" s="296"/>
      <c r="AA221" s="296"/>
      <c r="AB221" s="296"/>
      <c r="AC221" s="296"/>
      <c r="AD221" s="296"/>
      <c r="AE221" s="296"/>
      <c r="AF221" s="296"/>
      <c r="AG221" s="296"/>
      <c r="AH221" s="299"/>
      <c r="AI221" s="296"/>
      <c r="AJ221" s="299"/>
      <c r="AK221" s="296"/>
      <c r="AL221" s="296"/>
      <c r="AM221" s="296"/>
      <c r="AN221" s="335"/>
      <c r="AO221" s="296"/>
      <c r="AP221" s="296"/>
      <c r="AQ221" s="296"/>
      <c r="AR221" s="296"/>
      <c r="AS221" s="296"/>
      <c r="AT221" s="296"/>
      <c r="AU221" s="296"/>
      <c r="AV221" s="296"/>
      <c r="AW221" s="296"/>
      <c r="AX221" s="296"/>
      <c r="AY221" s="296"/>
      <c r="AZ221" s="296"/>
      <c r="BA221" s="296"/>
      <c r="BB221" s="296"/>
      <c r="BC221" s="499">
        <f t="shared" si="64"/>
        <v>80</v>
      </c>
      <c r="BD221" s="499">
        <f t="shared" si="64"/>
        <v>0</v>
      </c>
      <c r="BE221" s="499">
        <f t="shared" si="64"/>
        <v>80</v>
      </c>
      <c r="BF221" s="296">
        <v>80</v>
      </c>
      <c r="BG221" s="296"/>
      <c r="BH221" s="296">
        <f t="shared" si="67"/>
        <v>80</v>
      </c>
      <c r="BI221" s="723"/>
      <c r="BJ221" s="723"/>
      <c r="BK221" s="723"/>
      <c r="BL221" s="723"/>
      <c r="BM221" s="723"/>
      <c r="BN221" s="723"/>
      <c r="BO221" s="723"/>
      <c r="BP221" s="725"/>
      <c r="BQ221" s="723"/>
      <c r="BR221" s="723"/>
      <c r="BS221" s="723"/>
      <c r="BT221" s="723"/>
      <c r="BU221" s="723"/>
      <c r="BV221" s="723"/>
      <c r="BW221" s="723"/>
      <c r="BX221" s="723"/>
      <c r="BY221" s="725"/>
      <c r="BZ221" s="723"/>
      <c r="CA221" s="723"/>
      <c r="CB221" s="516">
        <v>80000</v>
      </c>
      <c r="CC221" s="297">
        <v>80</v>
      </c>
      <c r="CD221" s="723"/>
    </row>
    <row r="222" spans="1:82" s="550" customFormat="1" ht="39.75" customHeight="1" x14ac:dyDescent="0.2">
      <c r="A222" s="703"/>
      <c r="B222" s="292" t="s">
        <v>1381</v>
      </c>
      <c r="C222" s="293" t="s">
        <v>1501</v>
      </c>
      <c r="D222" s="316"/>
      <c r="E222" s="512" t="s">
        <v>822</v>
      </c>
      <c r="F222" s="334" t="s">
        <v>1208</v>
      </c>
      <c r="G222" s="516"/>
      <c r="H222" s="516"/>
      <c r="I222" s="516"/>
      <c r="J222" s="516"/>
      <c r="K222" s="516"/>
      <c r="L222" s="516"/>
      <c r="M222" s="296"/>
      <c r="N222" s="296"/>
      <c r="O222" s="296"/>
      <c r="P222" s="296"/>
      <c r="Q222" s="296"/>
      <c r="R222" s="296"/>
      <c r="S222" s="296"/>
      <c r="T222" s="296"/>
      <c r="U222" s="296"/>
      <c r="V222" s="296"/>
      <c r="W222" s="296"/>
      <c r="X222" s="296"/>
      <c r="Y222" s="296"/>
      <c r="Z222" s="296"/>
      <c r="AA222" s="296"/>
      <c r="AB222" s="296"/>
      <c r="AC222" s="296"/>
      <c r="AD222" s="296"/>
      <c r="AE222" s="296"/>
      <c r="AF222" s="296"/>
      <c r="AG222" s="296"/>
      <c r="AH222" s="299"/>
      <c r="AI222" s="296"/>
      <c r="AJ222" s="299"/>
      <c r="AK222" s="296"/>
      <c r="AL222" s="296"/>
      <c r="AM222" s="296"/>
      <c r="AN222" s="335"/>
      <c r="AO222" s="296"/>
      <c r="AP222" s="296"/>
      <c r="AQ222" s="296">
        <f t="shared" si="57"/>
        <v>2066</v>
      </c>
      <c r="AR222" s="296">
        <f t="shared" si="57"/>
        <v>558</v>
      </c>
      <c r="AS222" s="296">
        <f t="shared" si="57"/>
        <v>2624</v>
      </c>
      <c r="AT222" s="296">
        <v>2066</v>
      </c>
      <c r="AU222" s="296">
        <v>558</v>
      </c>
      <c r="AV222" s="296">
        <f>SUM(AT222:AU222)</f>
        <v>2624</v>
      </c>
      <c r="AW222" s="296"/>
      <c r="AX222" s="296"/>
      <c r="AY222" s="296"/>
      <c r="AZ222" s="296">
        <v>2066</v>
      </c>
      <c r="BA222" s="296">
        <v>558</v>
      </c>
      <c r="BB222" s="296">
        <v>2624</v>
      </c>
      <c r="BC222" s="499">
        <f t="shared" si="64"/>
        <v>0</v>
      </c>
      <c r="BD222" s="499">
        <f t="shared" si="64"/>
        <v>0</v>
      </c>
      <c r="BE222" s="499">
        <f t="shared" si="64"/>
        <v>0</v>
      </c>
      <c r="BF222" s="296">
        <v>2066</v>
      </c>
      <c r="BG222" s="296">
        <v>558</v>
      </c>
      <c r="BH222" s="296">
        <f t="shared" si="67"/>
        <v>2624</v>
      </c>
      <c r="BI222" s="723"/>
      <c r="BJ222" s="723"/>
      <c r="BK222" s="723"/>
      <c r="BL222" s="723"/>
      <c r="BM222" s="723"/>
      <c r="BN222" s="723"/>
      <c r="BO222" s="723"/>
      <c r="BP222" s="725"/>
      <c r="BQ222" s="723"/>
      <c r="BR222" s="723"/>
      <c r="BS222" s="723"/>
      <c r="BT222" s="723"/>
      <c r="BU222" s="723"/>
      <c r="BV222" s="723"/>
      <c r="BW222" s="723"/>
      <c r="BX222" s="723"/>
      <c r="BY222" s="725"/>
      <c r="BZ222" s="723"/>
      <c r="CA222" s="723"/>
      <c r="CB222" s="516">
        <v>2065484</v>
      </c>
      <c r="CC222" s="297">
        <v>2623</v>
      </c>
      <c r="CD222" s="723"/>
    </row>
    <row r="223" spans="1:82" ht="33.75" customHeight="1" collapsed="1" x14ac:dyDescent="0.2">
      <c r="A223" s="703"/>
      <c r="B223" s="292" t="s">
        <v>1381</v>
      </c>
      <c r="C223" s="329" t="s">
        <v>899</v>
      </c>
      <c r="D223" s="314"/>
      <c r="E223" s="512" t="s">
        <v>822</v>
      </c>
      <c r="F223" s="334" t="s">
        <v>1502</v>
      </c>
      <c r="G223" s="296"/>
      <c r="H223" s="296"/>
      <c r="I223" s="296"/>
      <c r="J223" s="296"/>
      <c r="K223" s="296"/>
      <c r="L223" s="296"/>
      <c r="M223" s="296"/>
      <c r="N223" s="296"/>
      <c r="O223" s="296"/>
      <c r="P223" s="296"/>
      <c r="Q223" s="296"/>
      <c r="R223" s="296"/>
      <c r="S223" s="296"/>
      <c r="T223" s="296"/>
      <c r="U223" s="296"/>
      <c r="V223" s="296"/>
      <c r="W223" s="296"/>
      <c r="X223" s="296"/>
      <c r="Y223" s="296"/>
      <c r="Z223" s="296"/>
      <c r="AA223" s="296"/>
      <c r="AB223" s="296"/>
      <c r="AC223" s="296"/>
      <c r="AD223" s="296"/>
      <c r="AE223" s="296"/>
      <c r="AF223" s="296"/>
      <c r="AG223" s="296"/>
      <c r="AH223" s="299">
        <v>784</v>
      </c>
      <c r="AI223" s="296">
        <v>212</v>
      </c>
      <c r="AJ223" s="299">
        <f>SUM(AH223:AI223)</f>
        <v>996</v>
      </c>
      <c r="AK223" s="296">
        <f>AN223-AH223</f>
        <v>0</v>
      </c>
      <c r="AL223" s="296">
        <f>AO223-AI223</f>
        <v>0</v>
      </c>
      <c r="AM223" s="296">
        <f>AP223-AJ223</f>
        <v>0</v>
      </c>
      <c r="AN223" s="299">
        <v>784</v>
      </c>
      <c r="AO223" s="296">
        <v>212</v>
      </c>
      <c r="AP223" s="299">
        <f>SUM(AN223:AO223)</f>
        <v>996</v>
      </c>
      <c r="AQ223" s="296">
        <f t="shared" si="57"/>
        <v>0</v>
      </c>
      <c r="AR223" s="296">
        <f t="shared" si="57"/>
        <v>0</v>
      </c>
      <c r="AS223" s="296">
        <f t="shared" si="57"/>
        <v>0</v>
      </c>
      <c r="AT223" s="296">
        <v>784</v>
      </c>
      <c r="AU223" s="296">
        <v>212</v>
      </c>
      <c r="AV223" s="296">
        <f>SUM(AT223:AU223)</f>
        <v>996</v>
      </c>
      <c r="AW223" s="296"/>
      <c r="AX223" s="296"/>
      <c r="AY223" s="296"/>
      <c r="AZ223" s="296">
        <v>784</v>
      </c>
      <c r="BA223" s="296">
        <v>212</v>
      </c>
      <c r="BB223" s="296">
        <v>996</v>
      </c>
      <c r="BC223" s="499">
        <f t="shared" si="64"/>
        <v>0</v>
      </c>
      <c r="BD223" s="499">
        <f t="shared" si="64"/>
        <v>0</v>
      </c>
      <c r="BE223" s="499">
        <f t="shared" si="64"/>
        <v>0</v>
      </c>
      <c r="BF223" s="296">
        <v>784</v>
      </c>
      <c r="BG223" s="296">
        <v>212</v>
      </c>
      <c r="BH223" s="296">
        <f t="shared" si="67"/>
        <v>996</v>
      </c>
      <c r="BI223" s="723"/>
      <c r="BJ223" s="723"/>
      <c r="BK223" s="723"/>
      <c r="BL223" s="723"/>
      <c r="BM223" s="723"/>
      <c r="BN223" s="723"/>
      <c r="BO223" s="723"/>
      <c r="BP223" s="725"/>
      <c r="BQ223" s="723"/>
      <c r="BR223" s="723"/>
      <c r="BS223" s="723"/>
      <c r="BT223" s="723"/>
      <c r="BU223" s="723"/>
      <c r="BV223" s="723"/>
      <c r="BW223" s="723"/>
      <c r="BX223" s="723"/>
      <c r="BY223" s="725"/>
      <c r="BZ223" s="723"/>
      <c r="CA223" s="723"/>
      <c r="CB223" s="516">
        <v>784000</v>
      </c>
      <c r="CC223" s="297">
        <v>996</v>
      </c>
      <c r="CD223" s="723"/>
    </row>
    <row r="224" spans="1:82" ht="35.25" customHeight="1" x14ac:dyDescent="0.2">
      <c r="A224" s="703"/>
      <c r="B224" s="292" t="s">
        <v>1381</v>
      </c>
      <c r="C224" s="329" t="s">
        <v>1503</v>
      </c>
      <c r="D224" s="314"/>
      <c r="E224" s="512" t="s">
        <v>822</v>
      </c>
      <c r="F224" s="334" t="s">
        <v>1488</v>
      </c>
      <c r="G224" s="296"/>
      <c r="H224" s="296"/>
      <c r="I224" s="296"/>
      <c r="J224" s="296"/>
      <c r="K224" s="296"/>
      <c r="L224" s="296"/>
      <c r="M224" s="296"/>
      <c r="N224" s="296"/>
      <c r="O224" s="296"/>
      <c r="P224" s="296"/>
      <c r="Q224" s="296"/>
      <c r="R224" s="296"/>
      <c r="S224" s="296"/>
      <c r="T224" s="296"/>
      <c r="U224" s="296"/>
      <c r="V224" s="296"/>
      <c r="W224" s="296"/>
      <c r="X224" s="296"/>
      <c r="Y224" s="296"/>
      <c r="Z224" s="296"/>
      <c r="AA224" s="296"/>
      <c r="AB224" s="296"/>
      <c r="AC224" s="296"/>
      <c r="AD224" s="296"/>
      <c r="AE224" s="296"/>
      <c r="AF224" s="296"/>
      <c r="AG224" s="296"/>
      <c r="AH224" s="299"/>
      <c r="AI224" s="296"/>
      <c r="AJ224" s="299"/>
      <c r="AK224" s="296"/>
      <c r="AL224" s="296"/>
      <c r="AM224" s="296"/>
      <c r="AN224" s="299"/>
      <c r="AO224" s="296"/>
      <c r="AP224" s="299"/>
      <c r="AQ224" s="296"/>
      <c r="AR224" s="296"/>
      <c r="AS224" s="296"/>
      <c r="AT224" s="296"/>
      <c r="AU224" s="296"/>
      <c r="AV224" s="296"/>
      <c r="AW224" s="296"/>
      <c r="AX224" s="296"/>
      <c r="AY224" s="296"/>
      <c r="AZ224" s="296"/>
      <c r="BA224" s="296"/>
      <c r="BB224" s="296"/>
      <c r="BC224" s="499">
        <f t="shared" si="64"/>
        <v>8</v>
      </c>
      <c r="BD224" s="499">
        <f t="shared" si="64"/>
        <v>3</v>
      </c>
      <c r="BE224" s="499">
        <f t="shared" si="64"/>
        <v>11</v>
      </c>
      <c r="BF224" s="296">
        <v>8</v>
      </c>
      <c r="BG224" s="296">
        <v>3</v>
      </c>
      <c r="BH224" s="296">
        <f t="shared" si="67"/>
        <v>11</v>
      </c>
      <c r="BI224" s="723"/>
      <c r="BJ224" s="723"/>
      <c r="BK224" s="723"/>
      <c r="BL224" s="723"/>
      <c r="BM224" s="723"/>
      <c r="BN224" s="723"/>
      <c r="BO224" s="723"/>
      <c r="BP224" s="725"/>
      <c r="BQ224" s="723"/>
      <c r="BR224" s="723"/>
      <c r="BS224" s="723"/>
      <c r="BT224" s="723"/>
      <c r="BU224" s="723"/>
      <c r="BV224" s="723"/>
      <c r="BW224" s="723"/>
      <c r="BX224" s="723"/>
      <c r="BY224" s="725"/>
      <c r="BZ224" s="723"/>
      <c r="CA224" s="723"/>
      <c r="CB224" s="516">
        <v>8250</v>
      </c>
      <c r="CC224" s="297">
        <v>10</v>
      </c>
      <c r="CD224" s="723"/>
    </row>
    <row r="225" spans="1:82" x14ac:dyDescent="0.2">
      <c r="A225" s="703"/>
      <c r="B225" s="292" t="s">
        <v>1381</v>
      </c>
      <c r="C225" s="293" t="s">
        <v>1143</v>
      </c>
      <c r="D225" s="314"/>
      <c r="E225" s="512" t="s">
        <v>766</v>
      </c>
      <c r="F225" s="302" t="s">
        <v>418</v>
      </c>
      <c r="G225" s="516"/>
      <c r="H225" s="516"/>
      <c r="I225" s="516"/>
      <c r="J225" s="516"/>
      <c r="K225" s="516"/>
      <c r="L225" s="516"/>
      <c r="M225" s="296"/>
      <c r="N225" s="296"/>
      <c r="O225" s="296"/>
      <c r="P225" s="296"/>
      <c r="Q225" s="296"/>
      <c r="R225" s="296"/>
      <c r="S225" s="296"/>
      <c r="T225" s="296"/>
      <c r="U225" s="296"/>
      <c r="V225" s="296"/>
      <c r="W225" s="296"/>
      <c r="X225" s="296"/>
      <c r="Y225" s="296"/>
      <c r="Z225" s="296"/>
      <c r="AA225" s="296"/>
      <c r="AB225" s="296"/>
      <c r="AC225" s="296"/>
      <c r="AD225" s="296"/>
      <c r="AE225" s="296"/>
      <c r="AF225" s="296"/>
      <c r="AG225" s="296"/>
      <c r="AH225" s="299">
        <v>157480</v>
      </c>
      <c r="AI225" s="296">
        <v>42520</v>
      </c>
      <c r="AJ225" s="299">
        <f>SUM(AH225:AI225)</f>
        <v>200000</v>
      </c>
      <c r="AK225" s="296">
        <f t="shared" si="61"/>
        <v>-157480</v>
      </c>
      <c r="AL225" s="296">
        <f t="shared" si="61"/>
        <v>-42520</v>
      </c>
      <c r="AM225" s="296">
        <f t="shared" si="61"/>
        <v>-200000</v>
      </c>
      <c r="AN225" s="296">
        <v>0</v>
      </c>
      <c r="AO225" s="296">
        <v>0</v>
      </c>
      <c r="AP225" s="296">
        <v>0</v>
      </c>
      <c r="AQ225" s="296">
        <f t="shared" si="57"/>
        <v>0</v>
      </c>
      <c r="AR225" s="296">
        <f t="shared" si="57"/>
        <v>0</v>
      </c>
      <c r="AS225" s="296">
        <f t="shared" si="57"/>
        <v>0</v>
      </c>
      <c r="AT225" s="296">
        <v>0</v>
      </c>
      <c r="AU225" s="296">
        <v>0</v>
      </c>
      <c r="AV225" s="296">
        <v>0</v>
      </c>
      <c r="AW225" s="296"/>
      <c r="AX225" s="296"/>
      <c r="AY225" s="296"/>
      <c r="AZ225" s="296">
        <v>0</v>
      </c>
      <c r="BA225" s="296">
        <v>0</v>
      </c>
      <c r="BB225" s="296">
        <v>0</v>
      </c>
      <c r="BC225" s="499">
        <f t="shared" si="64"/>
        <v>0</v>
      </c>
      <c r="BD225" s="499">
        <f t="shared" si="64"/>
        <v>0</v>
      </c>
      <c r="BE225" s="499">
        <f t="shared" si="64"/>
        <v>105770</v>
      </c>
      <c r="BF225" s="296">
        <v>0</v>
      </c>
      <c r="BG225" s="296">
        <v>0</v>
      </c>
      <c r="BH225" s="296">
        <v>105770</v>
      </c>
      <c r="BI225" s="723"/>
      <c r="BJ225" s="723"/>
      <c r="BK225" s="723"/>
      <c r="BL225" s="723"/>
      <c r="BM225" s="723"/>
      <c r="BN225" s="723"/>
      <c r="BO225" s="723"/>
      <c r="BP225" s="725"/>
      <c r="BQ225" s="723"/>
      <c r="BR225" s="723"/>
      <c r="BS225" s="723"/>
      <c r="BT225" s="723"/>
      <c r="BU225" s="723"/>
      <c r="BV225" s="723"/>
      <c r="BW225" s="723"/>
      <c r="BX225" s="723"/>
      <c r="BY225" s="725"/>
      <c r="BZ225" s="723"/>
      <c r="CA225" s="723"/>
      <c r="CB225" s="516">
        <v>0</v>
      </c>
      <c r="CC225" s="297">
        <v>0</v>
      </c>
      <c r="CD225" s="723"/>
    </row>
    <row r="226" spans="1:82" x14ac:dyDescent="0.2">
      <c r="A226" s="703"/>
      <c r="B226" s="292" t="s">
        <v>1381</v>
      </c>
      <c r="C226" s="329" t="s">
        <v>824</v>
      </c>
      <c r="D226" s="314" t="s">
        <v>729</v>
      </c>
      <c r="E226" s="512" t="s">
        <v>766</v>
      </c>
      <c r="F226" s="302" t="s">
        <v>825</v>
      </c>
      <c r="G226" s="296"/>
      <c r="H226" s="296"/>
      <c r="I226" s="296"/>
      <c r="J226" s="296"/>
      <c r="K226" s="296"/>
      <c r="L226" s="296"/>
      <c r="M226" s="296"/>
      <c r="N226" s="296"/>
      <c r="O226" s="296"/>
      <c r="P226" s="296"/>
      <c r="Q226" s="296"/>
      <c r="R226" s="296"/>
      <c r="S226" s="296"/>
      <c r="T226" s="296"/>
      <c r="U226" s="296"/>
      <c r="V226" s="296"/>
      <c r="W226" s="296"/>
      <c r="X226" s="296"/>
      <c r="Y226" s="296"/>
      <c r="Z226" s="296"/>
      <c r="AA226" s="296"/>
      <c r="AB226" s="296"/>
      <c r="AC226" s="296"/>
      <c r="AD226" s="296"/>
      <c r="AE226" s="296"/>
      <c r="AF226" s="296"/>
      <c r="AG226" s="296"/>
      <c r="AH226" s="299"/>
      <c r="AI226" s="296"/>
      <c r="AJ226" s="299"/>
      <c r="AK226" s="299">
        <f t="shared" si="61"/>
        <v>1393</v>
      </c>
      <c r="AL226" s="299">
        <f t="shared" si="61"/>
        <v>376</v>
      </c>
      <c r="AM226" s="299">
        <f t="shared" si="61"/>
        <v>1769</v>
      </c>
      <c r="AN226" s="299">
        <v>1393</v>
      </c>
      <c r="AO226" s="299">
        <v>376</v>
      </c>
      <c r="AP226" s="299">
        <f t="shared" ref="AP226:AP289" si="68">SUM(AN226:AO226)</f>
        <v>1769</v>
      </c>
      <c r="AQ226" s="296">
        <f t="shared" si="57"/>
        <v>0</v>
      </c>
      <c r="AR226" s="296">
        <f t="shared" si="57"/>
        <v>0</v>
      </c>
      <c r="AS226" s="296">
        <f t="shared" si="57"/>
        <v>0</v>
      </c>
      <c r="AT226" s="296">
        <v>1393</v>
      </c>
      <c r="AU226" s="296">
        <v>376</v>
      </c>
      <c r="AV226" s="296">
        <f t="shared" ref="AV226:AV289" si="69">SUM(AT226:AU226)</f>
        <v>1769</v>
      </c>
      <c r="AW226" s="296"/>
      <c r="AX226" s="296"/>
      <c r="AY226" s="296"/>
      <c r="AZ226" s="296">
        <v>1393</v>
      </c>
      <c r="BA226" s="296">
        <v>376</v>
      </c>
      <c r="BB226" s="296">
        <v>1769</v>
      </c>
      <c r="BC226" s="499">
        <f t="shared" si="64"/>
        <v>0</v>
      </c>
      <c r="BD226" s="499">
        <f t="shared" si="64"/>
        <v>-376</v>
      </c>
      <c r="BE226" s="499">
        <f t="shared" si="64"/>
        <v>-376</v>
      </c>
      <c r="BF226" s="296">
        <v>1393</v>
      </c>
      <c r="BG226" s="296">
        <v>0</v>
      </c>
      <c r="BH226" s="296">
        <f t="shared" ref="BH226:BH270" si="70">SUM(BF226:BG226)</f>
        <v>1393</v>
      </c>
      <c r="BI226" s="723"/>
      <c r="BJ226" s="723"/>
      <c r="BK226" s="723"/>
      <c r="BL226" s="723"/>
      <c r="BM226" s="723"/>
      <c r="BN226" s="723"/>
      <c r="BO226" s="723"/>
      <c r="BP226" s="725"/>
      <c r="BQ226" s="723"/>
      <c r="BR226" s="723"/>
      <c r="BS226" s="723"/>
      <c r="BT226" s="723"/>
      <c r="BU226" s="723"/>
      <c r="BV226" s="723"/>
      <c r="BW226" s="723"/>
      <c r="BX226" s="723"/>
      <c r="BY226" s="725"/>
      <c r="BZ226" s="723"/>
      <c r="CA226" s="723"/>
      <c r="CB226" s="516">
        <v>1392850</v>
      </c>
      <c r="CC226" s="297">
        <v>1393</v>
      </c>
      <c r="CD226" s="723"/>
    </row>
    <row r="227" spans="1:82" x14ac:dyDescent="0.2">
      <c r="A227" s="703"/>
      <c r="B227" s="292" t="s">
        <v>1381</v>
      </c>
      <c r="C227" s="329" t="s">
        <v>826</v>
      </c>
      <c r="D227" s="314" t="s">
        <v>729</v>
      </c>
      <c r="E227" s="512" t="s">
        <v>766</v>
      </c>
      <c r="F227" s="302" t="s">
        <v>827</v>
      </c>
      <c r="G227" s="296"/>
      <c r="H227" s="296"/>
      <c r="I227" s="296"/>
      <c r="J227" s="296"/>
      <c r="K227" s="296"/>
      <c r="L227" s="296"/>
      <c r="M227" s="296"/>
      <c r="N227" s="296"/>
      <c r="O227" s="296"/>
      <c r="P227" s="296"/>
      <c r="Q227" s="296"/>
      <c r="R227" s="296"/>
      <c r="S227" s="296"/>
      <c r="T227" s="296"/>
      <c r="U227" s="296"/>
      <c r="V227" s="296"/>
      <c r="W227" s="296"/>
      <c r="X227" s="296"/>
      <c r="Y227" s="296"/>
      <c r="Z227" s="296"/>
      <c r="AA227" s="296"/>
      <c r="AB227" s="296"/>
      <c r="AC227" s="296"/>
      <c r="AD227" s="296"/>
      <c r="AE227" s="296"/>
      <c r="AF227" s="296"/>
      <c r="AG227" s="296"/>
      <c r="AH227" s="299"/>
      <c r="AI227" s="296"/>
      <c r="AJ227" s="299"/>
      <c r="AK227" s="299">
        <f t="shared" si="61"/>
        <v>5874</v>
      </c>
      <c r="AL227" s="299">
        <f t="shared" si="61"/>
        <v>1586</v>
      </c>
      <c r="AM227" s="299">
        <f t="shared" si="61"/>
        <v>7460</v>
      </c>
      <c r="AN227" s="299">
        <v>5874</v>
      </c>
      <c r="AO227" s="299">
        <v>1586</v>
      </c>
      <c r="AP227" s="299">
        <f t="shared" si="68"/>
        <v>7460</v>
      </c>
      <c r="AQ227" s="296">
        <f t="shared" si="57"/>
        <v>0</v>
      </c>
      <c r="AR227" s="296">
        <f t="shared" si="57"/>
        <v>0</v>
      </c>
      <c r="AS227" s="296">
        <f t="shared" si="57"/>
        <v>0</v>
      </c>
      <c r="AT227" s="296">
        <v>5874</v>
      </c>
      <c r="AU227" s="296">
        <v>1586</v>
      </c>
      <c r="AV227" s="296">
        <f t="shared" si="69"/>
        <v>7460</v>
      </c>
      <c r="AW227" s="296"/>
      <c r="AX227" s="296"/>
      <c r="AY227" s="296"/>
      <c r="AZ227" s="296">
        <v>5874</v>
      </c>
      <c r="BA227" s="296">
        <v>1586</v>
      </c>
      <c r="BB227" s="296">
        <v>7460</v>
      </c>
      <c r="BC227" s="499">
        <f t="shared" si="64"/>
        <v>0</v>
      </c>
      <c r="BD227" s="499">
        <f t="shared" si="64"/>
        <v>-1586</v>
      </c>
      <c r="BE227" s="499">
        <f t="shared" si="64"/>
        <v>-1586</v>
      </c>
      <c r="BF227" s="296">
        <v>5874</v>
      </c>
      <c r="BG227" s="296">
        <v>0</v>
      </c>
      <c r="BH227" s="296">
        <f t="shared" si="70"/>
        <v>5874</v>
      </c>
      <c r="BI227" s="723"/>
      <c r="BJ227" s="723"/>
      <c r="BK227" s="723"/>
      <c r="BL227" s="723"/>
      <c r="BM227" s="723"/>
      <c r="BN227" s="723"/>
      <c r="BO227" s="723"/>
      <c r="BP227" s="725"/>
      <c r="BQ227" s="723"/>
      <c r="BR227" s="723"/>
      <c r="BS227" s="723"/>
      <c r="BT227" s="723"/>
      <c r="BU227" s="723"/>
      <c r="BV227" s="723"/>
      <c r="BW227" s="723"/>
      <c r="BX227" s="723"/>
      <c r="BY227" s="725"/>
      <c r="BZ227" s="723"/>
      <c r="CA227" s="723"/>
      <c r="CB227" s="516">
        <v>5873700</v>
      </c>
      <c r="CC227" s="297">
        <v>5874</v>
      </c>
      <c r="CD227" s="723"/>
    </row>
    <row r="228" spans="1:82" x14ac:dyDescent="0.2">
      <c r="A228" s="703"/>
      <c r="B228" s="292" t="s">
        <v>1381</v>
      </c>
      <c r="C228" s="329" t="s">
        <v>828</v>
      </c>
      <c r="D228" s="314"/>
      <c r="E228" s="512" t="s">
        <v>766</v>
      </c>
      <c r="F228" s="302" t="s">
        <v>829</v>
      </c>
      <c r="G228" s="296"/>
      <c r="H228" s="296"/>
      <c r="I228" s="296"/>
      <c r="J228" s="296"/>
      <c r="K228" s="296"/>
      <c r="L228" s="296"/>
      <c r="M228" s="296"/>
      <c r="N228" s="296"/>
      <c r="O228" s="296"/>
      <c r="P228" s="296"/>
      <c r="Q228" s="296"/>
      <c r="R228" s="296"/>
      <c r="S228" s="296"/>
      <c r="T228" s="296"/>
      <c r="U228" s="296"/>
      <c r="V228" s="296"/>
      <c r="W228" s="296"/>
      <c r="X228" s="296"/>
      <c r="Y228" s="296"/>
      <c r="Z228" s="296"/>
      <c r="AA228" s="296"/>
      <c r="AB228" s="296"/>
      <c r="AC228" s="296"/>
      <c r="AD228" s="296"/>
      <c r="AE228" s="296"/>
      <c r="AF228" s="296"/>
      <c r="AG228" s="296"/>
      <c r="AH228" s="299"/>
      <c r="AI228" s="296"/>
      <c r="AJ228" s="299"/>
      <c r="AK228" s="299">
        <f t="shared" si="61"/>
        <v>1286</v>
      </c>
      <c r="AL228" s="299">
        <f t="shared" si="61"/>
        <v>347</v>
      </c>
      <c r="AM228" s="299">
        <f t="shared" si="61"/>
        <v>1633</v>
      </c>
      <c r="AN228" s="299">
        <v>1286</v>
      </c>
      <c r="AO228" s="299">
        <v>347</v>
      </c>
      <c r="AP228" s="299">
        <f t="shared" si="68"/>
        <v>1633</v>
      </c>
      <c r="AQ228" s="296">
        <f t="shared" si="57"/>
        <v>0</v>
      </c>
      <c r="AR228" s="296">
        <f t="shared" si="57"/>
        <v>0</v>
      </c>
      <c r="AS228" s="296">
        <f t="shared" si="57"/>
        <v>0</v>
      </c>
      <c r="AT228" s="296">
        <v>1286</v>
      </c>
      <c r="AU228" s="296">
        <v>347</v>
      </c>
      <c r="AV228" s="296">
        <f t="shared" si="69"/>
        <v>1633</v>
      </c>
      <c r="AW228" s="296"/>
      <c r="AX228" s="296"/>
      <c r="AY228" s="296"/>
      <c r="AZ228" s="296">
        <v>1286</v>
      </c>
      <c r="BA228" s="296">
        <v>347</v>
      </c>
      <c r="BB228" s="296">
        <v>1633</v>
      </c>
      <c r="BC228" s="499">
        <f t="shared" si="64"/>
        <v>0</v>
      </c>
      <c r="BD228" s="499">
        <f t="shared" si="64"/>
        <v>0</v>
      </c>
      <c r="BE228" s="499">
        <f t="shared" si="64"/>
        <v>0</v>
      </c>
      <c r="BF228" s="296">
        <v>1286</v>
      </c>
      <c r="BG228" s="296">
        <v>347</v>
      </c>
      <c r="BH228" s="296">
        <f t="shared" si="70"/>
        <v>1633</v>
      </c>
      <c r="BI228" s="723"/>
      <c r="BJ228" s="723"/>
      <c r="BK228" s="723"/>
      <c r="BL228" s="723"/>
      <c r="BM228" s="723"/>
      <c r="BN228" s="723"/>
      <c r="BO228" s="723"/>
      <c r="BP228" s="725"/>
      <c r="BQ228" s="723"/>
      <c r="BR228" s="723"/>
      <c r="BS228" s="723"/>
      <c r="BT228" s="723"/>
      <c r="BU228" s="723"/>
      <c r="BV228" s="723"/>
      <c r="BW228" s="723"/>
      <c r="BX228" s="723"/>
      <c r="BY228" s="725"/>
      <c r="BZ228" s="723"/>
      <c r="CA228" s="723"/>
      <c r="CB228" s="516">
        <v>1285850</v>
      </c>
      <c r="CC228" s="297">
        <v>1633</v>
      </c>
      <c r="CD228" s="723"/>
    </row>
    <row r="229" spans="1:82" x14ac:dyDescent="0.2">
      <c r="A229" s="703"/>
      <c r="B229" s="292" t="s">
        <v>1381</v>
      </c>
      <c r="C229" s="329" t="s">
        <v>830</v>
      </c>
      <c r="D229" s="314" t="s">
        <v>729</v>
      </c>
      <c r="E229" s="512" t="s">
        <v>766</v>
      </c>
      <c r="F229" s="302" t="s">
        <v>831</v>
      </c>
      <c r="G229" s="296"/>
      <c r="H229" s="296"/>
      <c r="I229" s="296"/>
      <c r="J229" s="296"/>
      <c r="K229" s="296"/>
      <c r="L229" s="296"/>
      <c r="M229" s="296"/>
      <c r="N229" s="296"/>
      <c r="O229" s="296"/>
      <c r="P229" s="296"/>
      <c r="Q229" s="296"/>
      <c r="R229" s="296"/>
      <c r="S229" s="296"/>
      <c r="T229" s="296"/>
      <c r="U229" s="296"/>
      <c r="V229" s="296"/>
      <c r="W229" s="296"/>
      <c r="X229" s="296"/>
      <c r="Y229" s="296"/>
      <c r="Z229" s="296"/>
      <c r="AA229" s="296"/>
      <c r="AB229" s="296"/>
      <c r="AC229" s="296"/>
      <c r="AD229" s="296"/>
      <c r="AE229" s="296"/>
      <c r="AF229" s="296"/>
      <c r="AG229" s="296"/>
      <c r="AH229" s="299"/>
      <c r="AI229" s="296"/>
      <c r="AJ229" s="299"/>
      <c r="AK229" s="299">
        <v>8555</v>
      </c>
      <c r="AL229" s="299">
        <f t="shared" ref="AL229:AM301" si="71">AO229-AI229</f>
        <v>2391</v>
      </c>
      <c r="AM229" s="299">
        <f t="shared" si="71"/>
        <v>11246</v>
      </c>
      <c r="AN229" s="299">
        <v>8855</v>
      </c>
      <c r="AO229" s="299">
        <v>2391</v>
      </c>
      <c r="AP229" s="299">
        <f t="shared" si="68"/>
        <v>11246</v>
      </c>
      <c r="AQ229" s="296">
        <v>8555</v>
      </c>
      <c r="AR229" s="296">
        <f t="shared" ref="AR229:AS301" si="72">AU229-AO229</f>
        <v>0</v>
      </c>
      <c r="AS229" s="296">
        <f t="shared" si="72"/>
        <v>0</v>
      </c>
      <c r="AT229" s="296">
        <v>8855</v>
      </c>
      <c r="AU229" s="296">
        <v>2391</v>
      </c>
      <c r="AV229" s="296">
        <f t="shared" si="69"/>
        <v>11246</v>
      </c>
      <c r="AW229" s="296"/>
      <c r="AX229" s="296"/>
      <c r="AY229" s="296"/>
      <c r="AZ229" s="296">
        <v>8855</v>
      </c>
      <c r="BA229" s="296">
        <v>2391</v>
      </c>
      <c r="BB229" s="296">
        <v>11246</v>
      </c>
      <c r="BC229" s="499">
        <f t="shared" si="64"/>
        <v>0</v>
      </c>
      <c r="BD229" s="499">
        <f t="shared" si="64"/>
        <v>-2391</v>
      </c>
      <c r="BE229" s="499">
        <f t="shared" si="64"/>
        <v>-2391</v>
      </c>
      <c r="BF229" s="296">
        <v>8855</v>
      </c>
      <c r="BG229" s="296">
        <v>0</v>
      </c>
      <c r="BH229" s="296">
        <f t="shared" si="70"/>
        <v>8855</v>
      </c>
      <c r="BI229" s="723"/>
      <c r="BJ229" s="723"/>
      <c r="BK229" s="723"/>
      <c r="BL229" s="723"/>
      <c r="BM229" s="723"/>
      <c r="BN229" s="723"/>
      <c r="BO229" s="723"/>
      <c r="BP229" s="725"/>
      <c r="BQ229" s="723"/>
      <c r="BR229" s="723"/>
      <c r="BS229" s="723"/>
      <c r="BT229" s="723"/>
      <c r="BU229" s="723"/>
      <c r="BV229" s="723"/>
      <c r="BW229" s="723"/>
      <c r="BX229" s="723"/>
      <c r="BY229" s="725"/>
      <c r="BZ229" s="723"/>
      <c r="CA229" s="723"/>
      <c r="CB229" s="516">
        <v>8855400</v>
      </c>
      <c r="CC229" s="297">
        <v>8855</v>
      </c>
      <c r="CD229" s="723"/>
    </row>
    <row r="230" spans="1:82" x14ac:dyDescent="0.2">
      <c r="A230" s="703"/>
      <c r="B230" s="292" t="s">
        <v>1381</v>
      </c>
      <c r="C230" s="329" t="s">
        <v>832</v>
      </c>
      <c r="D230" s="314"/>
      <c r="E230" s="512" t="s">
        <v>766</v>
      </c>
      <c r="F230" s="302" t="s">
        <v>833</v>
      </c>
      <c r="G230" s="296"/>
      <c r="H230" s="296"/>
      <c r="I230" s="296"/>
      <c r="J230" s="296"/>
      <c r="K230" s="296"/>
      <c r="L230" s="296"/>
      <c r="M230" s="296"/>
      <c r="N230" s="296"/>
      <c r="O230" s="296"/>
      <c r="P230" s="296"/>
      <c r="Q230" s="296"/>
      <c r="R230" s="296"/>
      <c r="S230" s="296"/>
      <c r="T230" s="296"/>
      <c r="U230" s="296"/>
      <c r="V230" s="296"/>
      <c r="W230" s="296"/>
      <c r="X230" s="296"/>
      <c r="Y230" s="296"/>
      <c r="Z230" s="296"/>
      <c r="AA230" s="296"/>
      <c r="AB230" s="296"/>
      <c r="AC230" s="296"/>
      <c r="AD230" s="296"/>
      <c r="AE230" s="296"/>
      <c r="AF230" s="296"/>
      <c r="AG230" s="296"/>
      <c r="AH230" s="299"/>
      <c r="AI230" s="296"/>
      <c r="AJ230" s="299"/>
      <c r="AK230" s="299">
        <f>AN230-AH230</f>
        <v>1842</v>
      </c>
      <c r="AL230" s="299">
        <f t="shared" si="71"/>
        <v>496</v>
      </c>
      <c r="AM230" s="299">
        <f t="shared" si="71"/>
        <v>2338</v>
      </c>
      <c r="AN230" s="299">
        <v>1842</v>
      </c>
      <c r="AO230" s="299">
        <v>496</v>
      </c>
      <c r="AP230" s="299">
        <f t="shared" si="68"/>
        <v>2338</v>
      </c>
      <c r="AQ230" s="296">
        <f>AT230-AN230</f>
        <v>0</v>
      </c>
      <c r="AR230" s="296">
        <f t="shared" si="72"/>
        <v>0</v>
      </c>
      <c r="AS230" s="296">
        <f t="shared" si="72"/>
        <v>0</v>
      </c>
      <c r="AT230" s="296">
        <v>1842</v>
      </c>
      <c r="AU230" s="296">
        <v>496</v>
      </c>
      <c r="AV230" s="296">
        <f t="shared" si="69"/>
        <v>2338</v>
      </c>
      <c r="AW230" s="296"/>
      <c r="AX230" s="296"/>
      <c r="AY230" s="296"/>
      <c r="AZ230" s="296">
        <v>1842</v>
      </c>
      <c r="BA230" s="296">
        <v>496</v>
      </c>
      <c r="BB230" s="296">
        <v>2338</v>
      </c>
      <c r="BC230" s="499">
        <f t="shared" si="64"/>
        <v>0</v>
      </c>
      <c r="BD230" s="499">
        <f t="shared" si="64"/>
        <v>0</v>
      </c>
      <c r="BE230" s="499">
        <f t="shared" si="64"/>
        <v>0</v>
      </c>
      <c r="BF230" s="296">
        <v>1842</v>
      </c>
      <c r="BG230" s="296">
        <v>496</v>
      </c>
      <c r="BH230" s="296">
        <f t="shared" si="70"/>
        <v>2338</v>
      </c>
      <c r="BI230" s="723"/>
      <c r="BJ230" s="723"/>
      <c r="BK230" s="723"/>
      <c r="BL230" s="723"/>
      <c r="BM230" s="723"/>
      <c r="BN230" s="723"/>
      <c r="BO230" s="723"/>
      <c r="BP230" s="725"/>
      <c r="BQ230" s="723"/>
      <c r="BR230" s="723"/>
      <c r="BS230" s="723"/>
      <c r="BT230" s="723"/>
      <c r="BU230" s="723"/>
      <c r="BV230" s="723"/>
      <c r="BW230" s="723"/>
      <c r="BX230" s="723"/>
      <c r="BY230" s="725"/>
      <c r="BZ230" s="723"/>
      <c r="CA230" s="723"/>
      <c r="CB230" s="516">
        <v>1842640</v>
      </c>
      <c r="CC230" s="297">
        <v>2339</v>
      </c>
      <c r="CD230" s="723"/>
    </row>
    <row r="231" spans="1:82" x14ac:dyDescent="0.2">
      <c r="A231" s="703"/>
      <c r="B231" s="292" t="s">
        <v>1381</v>
      </c>
      <c r="C231" s="329" t="s">
        <v>834</v>
      </c>
      <c r="D231" s="314"/>
      <c r="E231" s="512" t="s">
        <v>766</v>
      </c>
      <c r="F231" s="302" t="s">
        <v>835</v>
      </c>
      <c r="G231" s="296"/>
      <c r="H231" s="296"/>
      <c r="I231" s="296"/>
      <c r="J231" s="296"/>
      <c r="K231" s="296"/>
      <c r="L231" s="296"/>
      <c r="M231" s="296"/>
      <c r="N231" s="296"/>
      <c r="O231" s="296"/>
      <c r="P231" s="296"/>
      <c r="Q231" s="296"/>
      <c r="R231" s="296"/>
      <c r="S231" s="296"/>
      <c r="T231" s="296"/>
      <c r="U231" s="296"/>
      <c r="V231" s="296"/>
      <c r="W231" s="296"/>
      <c r="X231" s="296"/>
      <c r="Y231" s="296"/>
      <c r="Z231" s="296"/>
      <c r="AA231" s="296"/>
      <c r="AB231" s="296"/>
      <c r="AC231" s="296"/>
      <c r="AD231" s="296"/>
      <c r="AE231" s="296"/>
      <c r="AF231" s="296"/>
      <c r="AG231" s="296"/>
      <c r="AH231" s="299"/>
      <c r="AI231" s="296"/>
      <c r="AJ231" s="299"/>
      <c r="AK231" s="299">
        <f>AN231-AH231</f>
        <v>350</v>
      </c>
      <c r="AL231" s="299">
        <f t="shared" si="71"/>
        <v>95</v>
      </c>
      <c r="AM231" s="299">
        <f t="shared" si="71"/>
        <v>445</v>
      </c>
      <c r="AN231" s="299">
        <v>350</v>
      </c>
      <c r="AO231" s="299">
        <v>95</v>
      </c>
      <c r="AP231" s="299">
        <f t="shared" si="68"/>
        <v>445</v>
      </c>
      <c r="AQ231" s="296">
        <f>AT231-AN231</f>
        <v>0</v>
      </c>
      <c r="AR231" s="296">
        <f t="shared" si="72"/>
        <v>0</v>
      </c>
      <c r="AS231" s="296">
        <f t="shared" si="72"/>
        <v>0</v>
      </c>
      <c r="AT231" s="296">
        <v>350</v>
      </c>
      <c r="AU231" s="296">
        <v>95</v>
      </c>
      <c r="AV231" s="296">
        <f t="shared" si="69"/>
        <v>445</v>
      </c>
      <c r="AW231" s="296"/>
      <c r="AX231" s="296"/>
      <c r="AY231" s="296"/>
      <c r="AZ231" s="296">
        <v>350</v>
      </c>
      <c r="BA231" s="296">
        <v>95</v>
      </c>
      <c r="BB231" s="296">
        <v>445</v>
      </c>
      <c r="BC231" s="499">
        <f t="shared" si="64"/>
        <v>0</v>
      </c>
      <c r="BD231" s="499">
        <f t="shared" si="64"/>
        <v>0</v>
      </c>
      <c r="BE231" s="499">
        <f t="shared" si="64"/>
        <v>0</v>
      </c>
      <c r="BF231" s="296">
        <v>350</v>
      </c>
      <c r="BG231" s="296">
        <v>95</v>
      </c>
      <c r="BH231" s="296">
        <f t="shared" si="70"/>
        <v>445</v>
      </c>
      <c r="BI231" s="723"/>
      <c r="BJ231" s="723"/>
      <c r="BK231" s="723"/>
      <c r="BL231" s="723"/>
      <c r="BM231" s="723"/>
      <c r="BN231" s="723"/>
      <c r="BO231" s="723"/>
      <c r="BP231" s="725"/>
      <c r="BQ231" s="723"/>
      <c r="BR231" s="723"/>
      <c r="BS231" s="723"/>
      <c r="BT231" s="723"/>
      <c r="BU231" s="723"/>
      <c r="BV231" s="723"/>
      <c r="BW231" s="723"/>
      <c r="BX231" s="723"/>
      <c r="BY231" s="725"/>
      <c r="BZ231" s="723"/>
      <c r="CA231" s="723"/>
      <c r="CB231" s="516">
        <v>350000</v>
      </c>
      <c r="CC231" s="297">
        <v>445</v>
      </c>
      <c r="CD231" s="723"/>
    </row>
    <row r="232" spans="1:82" x14ac:dyDescent="0.2">
      <c r="A232" s="703"/>
      <c r="B232" s="292" t="s">
        <v>1381</v>
      </c>
      <c r="C232" s="329" t="s">
        <v>836</v>
      </c>
      <c r="D232" s="314" t="s">
        <v>729</v>
      </c>
      <c r="E232" s="512" t="s">
        <v>766</v>
      </c>
      <c r="F232" s="302" t="s">
        <v>837</v>
      </c>
      <c r="G232" s="296"/>
      <c r="H232" s="296"/>
      <c r="I232" s="296"/>
      <c r="J232" s="296"/>
      <c r="K232" s="296"/>
      <c r="L232" s="296"/>
      <c r="M232" s="296"/>
      <c r="N232" s="296"/>
      <c r="O232" s="296"/>
      <c r="P232" s="296"/>
      <c r="Q232" s="296"/>
      <c r="R232" s="296"/>
      <c r="S232" s="296"/>
      <c r="T232" s="296"/>
      <c r="U232" s="296"/>
      <c r="V232" s="296"/>
      <c r="W232" s="296"/>
      <c r="X232" s="296"/>
      <c r="Y232" s="296"/>
      <c r="Z232" s="296"/>
      <c r="AA232" s="296"/>
      <c r="AB232" s="296"/>
      <c r="AC232" s="296"/>
      <c r="AD232" s="296"/>
      <c r="AE232" s="296"/>
      <c r="AF232" s="296"/>
      <c r="AG232" s="296"/>
      <c r="AH232" s="299"/>
      <c r="AI232" s="296"/>
      <c r="AJ232" s="299"/>
      <c r="AK232" s="299">
        <f>AN232-AH232</f>
        <v>5846</v>
      </c>
      <c r="AL232" s="299">
        <f t="shared" si="71"/>
        <v>1578</v>
      </c>
      <c r="AM232" s="299">
        <f t="shared" si="71"/>
        <v>7424</v>
      </c>
      <c r="AN232" s="299">
        <v>5846</v>
      </c>
      <c r="AO232" s="299">
        <v>1578</v>
      </c>
      <c r="AP232" s="299">
        <f t="shared" si="68"/>
        <v>7424</v>
      </c>
      <c r="AQ232" s="296">
        <f>AT232-AN232</f>
        <v>0</v>
      </c>
      <c r="AR232" s="296">
        <f t="shared" si="72"/>
        <v>0</v>
      </c>
      <c r="AS232" s="296">
        <f t="shared" si="72"/>
        <v>0</v>
      </c>
      <c r="AT232" s="296">
        <v>5846</v>
      </c>
      <c r="AU232" s="296">
        <v>1578</v>
      </c>
      <c r="AV232" s="296">
        <f t="shared" si="69"/>
        <v>7424</v>
      </c>
      <c r="AW232" s="296"/>
      <c r="AX232" s="296"/>
      <c r="AY232" s="296"/>
      <c r="AZ232" s="296">
        <v>5846</v>
      </c>
      <c r="BA232" s="296">
        <v>1578</v>
      </c>
      <c r="BB232" s="296">
        <v>7424</v>
      </c>
      <c r="BC232" s="499">
        <f t="shared" ref="BC232:BE262" si="73">BF232-AT232</f>
        <v>0</v>
      </c>
      <c r="BD232" s="499">
        <f t="shared" si="73"/>
        <v>-1578</v>
      </c>
      <c r="BE232" s="499">
        <f t="shared" si="73"/>
        <v>-1578</v>
      </c>
      <c r="BF232" s="296">
        <v>5846</v>
      </c>
      <c r="BG232" s="296">
        <v>0</v>
      </c>
      <c r="BH232" s="296">
        <f t="shared" si="70"/>
        <v>5846</v>
      </c>
      <c r="BI232" s="723"/>
      <c r="BJ232" s="723"/>
      <c r="BK232" s="723"/>
      <c r="BL232" s="723"/>
      <c r="BM232" s="723"/>
      <c r="BN232" s="723"/>
      <c r="BO232" s="723"/>
      <c r="BP232" s="725"/>
      <c r="BQ232" s="723"/>
      <c r="BR232" s="723"/>
      <c r="BS232" s="723"/>
      <c r="BT232" s="723"/>
      <c r="BU232" s="723"/>
      <c r="BV232" s="723"/>
      <c r="BW232" s="723"/>
      <c r="BX232" s="723"/>
      <c r="BY232" s="725"/>
      <c r="BZ232" s="723"/>
      <c r="CA232" s="723"/>
      <c r="CB232" s="516">
        <v>5845790</v>
      </c>
      <c r="CC232" s="297">
        <v>5846</v>
      </c>
      <c r="CD232" s="723"/>
    </row>
    <row r="233" spans="1:82" x14ac:dyDescent="0.2">
      <c r="A233" s="703"/>
      <c r="B233" s="292" t="s">
        <v>1381</v>
      </c>
      <c r="C233" s="329" t="s">
        <v>1504</v>
      </c>
      <c r="D233" s="314" t="s">
        <v>729</v>
      </c>
      <c r="E233" s="512" t="s">
        <v>766</v>
      </c>
      <c r="F233" s="302" t="s">
        <v>838</v>
      </c>
      <c r="G233" s="296"/>
      <c r="H233" s="296"/>
      <c r="I233" s="296"/>
      <c r="J233" s="296"/>
      <c r="K233" s="296"/>
      <c r="L233" s="296"/>
      <c r="M233" s="296"/>
      <c r="N233" s="296"/>
      <c r="O233" s="296"/>
      <c r="P233" s="296"/>
      <c r="Q233" s="296"/>
      <c r="R233" s="296"/>
      <c r="S233" s="296"/>
      <c r="T233" s="296"/>
      <c r="U233" s="296"/>
      <c r="V233" s="296"/>
      <c r="W233" s="296"/>
      <c r="X233" s="296"/>
      <c r="Y233" s="296"/>
      <c r="Z233" s="296"/>
      <c r="AA233" s="296"/>
      <c r="AB233" s="296"/>
      <c r="AC233" s="296"/>
      <c r="AD233" s="296"/>
      <c r="AE233" s="296"/>
      <c r="AF233" s="296"/>
      <c r="AG233" s="296"/>
      <c r="AH233" s="299"/>
      <c r="AI233" s="296"/>
      <c r="AJ233" s="299"/>
      <c r="AK233" s="299">
        <v>6634</v>
      </c>
      <c r="AL233" s="299">
        <f t="shared" si="71"/>
        <v>1791</v>
      </c>
      <c r="AM233" s="299">
        <f t="shared" si="71"/>
        <v>8426</v>
      </c>
      <c r="AN233" s="299">
        <v>6635</v>
      </c>
      <c r="AO233" s="299">
        <v>1791</v>
      </c>
      <c r="AP233" s="299">
        <f t="shared" si="68"/>
        <v>8426</v>
      </c>
      <c r="AQ233" s="296">
        <v>6634</v>
      </c>
      <c r="AR233" s="296">
        <f t="shared" si="72"/>
        <v>0</v>
      </c>
      <c r="AS233" s="296">
        <f t="shared" si="72"/>
        <v>0</v>
      </c>
      <c r="AT233" s="296">
        <v>6635</v>
      </c>
      <c r="AU233" s="296">
        <v>1791</v>
      </c>
      <c r="AV233" s="296">
        <f t="shared" si="69"/>
        <v>8426</v>
      </c>
      <c r="AW233" s="296"/>
      <c r="AX233" s="296"/>
      <c r="AY233" s="296"/>
      <c r="AZ233" s="296">
        <v>6635</v>
      </c>
      <c r="BA233" s="296">
        <v>1791</v>
      </c>
      <c r="BB233" s="296">
        <v>8426</v>
      </c>
      <c r="BC233" s="499">
        <f t="shared" si="73"/>
        <v>0</v>
      </c>
      <c r="BD233" s="499">
        <f t="shared" si="73"/>
        <v>-1791</v>
      </c>
      <c r="BE233" s="499">
        <f t="shared" si="73"/>
        <v>-1791</v>
      </c>
      <c r="BF233" s="296">
        <v>6635</v>
      </c>
      <c r="BG233" s="296">
        <v>0</v>
      </c>
      <c r="BH233" s="296">
        <f t="shared" si="70"/>
        <v>6635</v>
      </c>
      <c r="BI233" s="723"/>
      <c r="BJ233" s="723"/>
      <c r="BK233" s="723"/>
      <c r="BL233" s="723"/>
      <c r="BM233" s="723"/>
      <c r="BN233" s="723"/>
      <c r="BO233" s="723"/>
      <c r="BP233" s="725"/>
      <c r="BQ233" s="723"/>
      <c r="BR233" s="723"/>
      <c r="BS233" s="723"/>
      <c r="BT233" s="723"/>
      <c r="BU233" s="723"/>
      <c r="BV233" s="723"/>
      <c r="BW233" s="723"/>
      <c r="BX233" s="723"/>
      <c r="BY233" s="725"/>
      <c r="BZ233" s="723"/>
      <c r="CA233" s="723"/>
      <c r="CB233" s="516">
        <v>6634500</v>
      </c>
      <c r="CC233" s="297">
        <v>6635</v>
      </c>
      <c r="CD233" s="723"/>
    </row>
    <row r="234" spans="1:82" x14ac:dyDescent="0.2">
      <c r="A234" s="703"/>
      <c r="B234" s="292" t="s">
        <v>1381</v>
      </c>
      <c r="C234" s="329" t="s">
        <v>839</v>
      </c>
      <c r="D234" s="314" t="s">
        <v>729</v>
      </c>
      <c r="E234" s="512" t="s">
        <v>766</v>
      </c>
      <c r="F234" s="302" t="s">
        <v>840</v>
      </c>
      <c r="G234" s="296"/>
      <c r="H234" s="296"/>
      <c r="I234" s="296"/>
      <c r="J234" s="296"/>
      <c r="K234" s="296"/>
      <c r="L234" s="296"/>
      <c r="M234" s="296"/>
      <c r="N234" s="296"/>
      <c r="O234" s="296"/>
      <c r="P234" s="296"/>
      <c r="Q234" s="296"/>
      <c r="R234" s="296"/>
      <c r="S234" s="296"/>
      <c r="T234" s="296"/>
      <c r="U234" s="296"/>
      <c r="V234" s="296"/>
      <c r="W234" s="296"/>
      <c r="X234" s="296"/>
      <c r="Y234" s="296"/>
      <c r="Z234" s="296"/>
      <c r="AA234" s="296"/>
      <c r="AB234" s="296"/>
      <c r="AC234" s="296"/>
      <c r="AD234" s="296"/>
      <c r="AE234" s="296"/>
      <c r="AF234" s="296"/>
      <c r="AG234" s="296"/>
      <c r="AH234" s="299"/>
      <c r="AI234" s="296"/>
      <c r="AJ234" s="299"/>
      <c r="AK234" s="299">
        <f t="shared" ref="AK234:AK242" si="74">AN234-AH234</f>
        <v>3312</v>
      </c>
      <c r="AL234" s="299">
        <f t="shared" si="71"/>
        <v>894</v>
      </c>
      <c r="AM234" s="299">
        <f t="shared" si="71"/>
        <v>4206</v>
      </c>
      <c r="AN234" s="299">
        <v>3312</v>
      </c>
      <c r="AO234" s="299">
        <v>894</v>
      </c>
      <c r="AP234" s="299">
        <f t="shared" si="68"/>
        <v>4206</v>
      </c>
      <c r="AQ234" s="296">
        <f t="shared" ref="AQ234:AQ297" si="75">AT234-AN234</f>
        <v>0</v>
      </c>
      <c r="AR234" s="296">
        <f t="shared" si="72"/>
        <v>0</v>
      </c>
      <c r="AS234" s="296">
        <f t="shared" si="72"/>
        <v>0</v>
      </c>
      <c r="AT234" s="296">
        <v>3312</v>
      </c>
      <c r="AU234" s="296">
        <v>894</v>
      </c>
      <c r="AV234" s="296">
        <f t="shared" si="69"/>
        <v>4206</v>
      </c>
      <c r="AW234" s="296"/>
      <c r="AX234" s="296"/>
      <c r="AY234" s="296"/>
      <c r="AZ234" s="296">
        <v>3312</v>
      </c>
      <c r="BA234" s="296">
        <v>894</v>
      </c>
      <c r="BB234" s="296">
        <v>4206</v>
      </c>
      <c r="BC234" s="499">
        <f t="shared" si="73"/>
        <v>0</v>
      </c>
      <c r="BD234" s="499">
        <f t="shared" si="73"/>
        <v>-894</v>
      </c>
      <c r="BE234" s="499">
        <f t="shared" si="73"/>
        <v>-894</v>
      </c>
      <c r="BF234" s="296">
        <v>3312</v>
      </c>
      <c r="BG234" s="296">
        <v>0</v>
      </c>
      <c r="BH234" s="296">
        <f t="shared" si="70"/>
        <v>3312</v>
      </c>
      <c r="BI234" s="723"/>
      <c r="BJ234" s="723"/>
      <c r="BK234" s="723"/>
      <c r="BL234" s="723"/>
      <c r="BM234" s="723"/>
      <c r="BN234" s="723"/>
      <c r="BO234" s="723"/>
      <c r="BP234" s="725"/>
      <c r="BQ234" s="723"/>
      <c r="BR234" s="723"/>
      <c r="BS234" s="723"/>
      <c r="BT234" s="723"/>
      <c r="BU234" s="723"/>
      <c r="BV234" s="723"/>
      <c r="BW234" s="723"/>
      <c r="BX234" s="723"/>
      <c r="BY234" s="725"/>
      <c r="BZ234" s="723"/>
      <c r="CA234" s="723"/>
      <c r="CB234" s="516">
        <v>3311498</v>
      </c>
      <c r="CC234" s="297">
        <v>3312</v>
      </c>
      <c r="CD234" s="723"/>
    </row>
    <row r="235" spans="1:82" x14ac:dyDescent="0.2">
      <c r="A235" s="703"/>
      <c r="B235" s="292" t="s">
        <v>1381</v>
      </c>
      <c r="C235" s="329" t="s">
        <v>841</v>
      </c>
      <c r="D235" s="314" t="s">
        <v>729</v>
      </c>
      <c r="E235" s="512" t="s">
        <v>766</v>
      </c>
      <c r="F235" s="302" t="s">
        <v>842</v>
      </c>
      <c r="G235" s="296"/>
      <c r="H235" s="296"/>
      <c r="I235" s="296"/>
      <c r="J235" s="296"/>
      <c r="K235" s="296"/>
      <c r="L235" s="296"/>
      <c r="M235" s="296"/>
      <c r="N235" s="296"/>
      <c r="O235" s="296"/>
      <c r="P235" s="296"/>
      <c r="Q235" s="296"/>
      <c r="R235" s="296"/>
      <c r="S235" s="296"/>
      <c r="T235" s="296"/>
      <c r="U235" s="296"/>
      <c r="V235" s="296"/>
      <c r="W235" s="296"/>
      <c r="X235" s="296"/>
      <c r="Y235" s="296"/>
      <c r="Z235" s="296"/>
      <c r="AA235" s="296"/>
      <c r="AB235" s="296"/>
      <c r="AC235" s="296"/>
      <c r="AD235" s="296"/>
      <c r="AE235" s="296"/>
      <c r="AF235" s="296"/>
      <c r="AG235" s="296"/>
      <c r="AH235" s="299"/>
      <c r="AI235" s="296"/>
      <c r="AJ235" s="299"/>
      <c r="AK235" s="299">
        <f t="shared" si="74"/>
        <v>2494</v>
      </c>
      <c r="AL235" s="299">
        <f t="shared" si="71"/>
        <v>673</v>
      </c>
      <c r="AM235" s="299">
        <f t="shared" si="71"/>
        <v>3167</v>
      </c>
      <c r="AN235" s="299">
        <v>2494</v>
      </c>
      <c r="AO235" s="299">
        <v>673</v>
      </c>
      <c r="AP235" s="299">
        <f t="shared" si="68"/>
        <v>3167</v>
      </c>
      <c r="AQ235" s="296">
        <f t="shared" si="75"/>
        <v>0</v>
      </c>
      <c r="AR235" s="296">
        <f t="shared" si="72"/>
        <v>0</v>
      </c>
      <c r="AS235" s="296">
        <f t="shared" si="72"/>
        <v>0</v>
      </c>
      <c r="AT235" s="296">
        <v>2494</v>
      </c>
      <c r="AU235" s="296">
        <v>673</v>
      </c>
      <c r="AV235" s="296">
        <f t="shared" si="69"/>
        <v>3167</v>
      </c>
      <c r="AW235" s="296"/>
      <c r="AX235" s="296"/>
      <c r="AY235" s="296"/>
      <c r="AZ235" s="296">
        <v>2494</v>
      </c>
      <c r="BA235" s="296">
        <v>673</v>
      </c>
      <c r="BB235" s="296">
        <v>3167</v>
      </c>
      <c r="BC235" s="499">
        <f t="shared" si="73"/>
        <v>0</v>
      </c>
      <c r="BD235" s="499">
        <f t="shared" si="73"/>
        <v>-673</v>
      </c>
      <c r="BE235" s="499">
        <f t="shared" si="73"/>
        <v>-673</v>
      </c>
      <c r="BF235" s="296">
        <v>2494</v>
      </c>
      <c r="BG235" s="296">
        <v>0</v>
      </c>
      <c r="BH235" s="296">
        <f t="shared" si="70"/>
        <v>2494</v>
      </c>
      <c r="BI235" s="723"/>
      <c r="BJ235" s="723"/>
      <c r="BK235" s="723"/>
      <c r="BL235" s="723"/>
      <c r="BM235" s="723"/>
      <c r="BN235" s="723"/>
      <c r="BO235" s="723"/>
      <c r="BP235" s="725"/>
      <c r="BQ235" s="723"/>
      <c r="BR235" s="723"/>
      <c r="BS235" s="723"/>
      <c r="BT235" s="723"/>
      <c r="BU235" s="723"/>
      <c r="BV235" s="723"/>
      <c r="BW235" s="723"/>
      <c r="BX235" s="723"/>
      <c r="BY235" s="725"/>
      <c r="BZ235" s="723"/>
      <c r="CA235" s="723"/>
      <c r="CB235" s="516">
        <v>2493939</v>
      </c>
      <c r="CC235" s="297">
        <v>2494</v>
      </c>
      <c r="CD235" s="723"/>
    </row>
    <row r="236" spans="1:82" x14ac:dyDescent="0.2">
      <c r="A236" s="703"/>
      <c r="B236" s="292" t="s">
        <v>1381</v>
      </c>
      <c r="C236" s="329" t="s">
        <v>843</v>
      </c>
      <c r="D236" s="314" t="s">
        <v>729</v>
      </c>
      <c r="E236" s="512" t="s">
        <v>766</v>
      </c>
      <c r="F236" s="302" t="s">
        <v>844</v>
      </c>
      <c r="G236" s="296"/>
      <c r="H236" s="296"/>
      <c r="I236" s="296"/>
      <c r="J236" s="296"/>
      <c r="K236" s="296"/>
      <c r="L236" s="296"/>
      <c r="M236" s="296"/>
      <c r="N236" s="296"/>
      <c r="O236" s="296"/>
      <c r="P236" s="296"/>
      <c r="Q236" s="296"/>
      <c r="R236" s="296"/>
      <c r="S236" s="296"/>
      <c r="T236" s="296"/>
      <c r="U236" s="296"/>
      <c r="V236" s="296"/>
      <c r="W236" s="296"/>
      <c r="X236" s="296"/>
      <c r="Y236" s="296"/>
      <c r="Z236" s="296"/>
      <c r="AA236" s="296"/>
      <c r="AB236" s="296"/>
      <c r="AC236" s="296"/>
      <c r="AD236" s="296"/>
      <c r="AE236" s="296"/>
      <c r="AF236" s="296"/>
      <c r="AG236" s="296"/>
      <c r="AH236" s="299"/>
      <c r="AI236" s="296"/>
      <c r="AJ236" s="299"/>
      <c r="AK236" s="299">
        <f t="shared" si="74"/>
        <v>2938</v>
      </c>
      <c r="AL236" s="299">
        <f t="shared" si="71"/>
        <v>793</v>
      </c>
      <c r="AM236" s="299">
        <f t="shared" si="71"/>
        <v>3731</v>
      </c>
      <c r="AN236" s="299">
        <v>2938</v>
      </c>
      <c r="AO236" s="299">
        <v>793</v>
      </c>
      <c r="AP236" s="299">
        <f t="shared" si="68"/>
        <v>3731</v>
      </c>
      <c r="AQ236" s="296">
        <f t="shared" si="75"/>
        <v>0</v>
      </c>
      <c r="AR236" s="296">
        <f t="shared" si="72"/>
        <v>0</v>
      </c>
      <c r="AS236" s="296">
        <f t="shared" si="72"/>
        <v>0</v>
      </c>
      <c r="AT236" s="296">
        <v>2938</v>
      </c>
      <c r="AU236" s="296">
        <v>793</v>
      </c>
      <c r="AV236" s="296">
        <f t="shared" si="69"/>
        <v>3731</v>
      </c>
      <c r="AW236" s="296"/>
      <c r="AX236" s="296"/>
      <c r="AY236" s="296"/>
      <c r="AZ236" s="296">
        <v>2938</v>
      </c>
      <c r="BA236" s="296">
        <v>793</v>
      </c>
      <c r="BB236" s="296">
        <v>3731</v>
      </c>
      <c r="BC236" s="499">
        <f t="shared" si="73"/>
        <v>0</v>
      </c>
      <c r="BD236" s="499">
        <f t="shared" si="73"/>
        <v>-793</v>
      </c>
      <c r="BE236" s="499">
        <f t="shared" si="73"/>
        <v>-793</v>
      </c>
      <c r="BF236" s="296">
        <v>2938</v>
      </c>
      <c r="BG236" s="296">
        <v>0</v>
      </c>
      <c r="BH236" s="296">
        <f t="shared" si="70"/>
        <v>2938</v>
      </c>
      <c r="BI236" s="723"/>
      <c r="BJ236" s="723"/>
      <c r="BK236" s="723"/>
      <c r="BL236" s="723"/>
      <c r="BM236" s="723"/>
      <c r="BN236" s="723"/>
      <c r="BO236" s="723"/>
      <c r="BP236" s="725"/>
      <c r="BQ236" s="723"/>
      <c r="BR236" s="723"/>
      <c r="BS236" s="723"/>
      <c r="BT236" s="723"/>
      <c r="BU236" s="723"/>
      <c r="BV236" s="723"/>
      <c r="BW236" s="723"/>
      <c r="BX236" s="723"/>
      <c r="BY236" s="725"/>
      <c r="BZ236" s="723"/>
      <c r="CA236" s="723"/>
      <c r="CB236" s="516">
        <v>2937849</v>
      </c>
      <c r="CC236" s="297">
        <v>2938</v>
      </c>
      <c r="CD236" s="723"/>
    </row>
    <row r="237" spans="1:82" x14ac:dyDescent="0.2">
      <c r="A237" s="703"/>
      <c r="B237" s="292" t="s">
        <v>1381</v>
      </c>
      <c r="C237" s="329" t="s">
        <v>845</v>
      </c>
      <c r="D237" s="314" t="s">
        <v>729</v>
      </c>
      <c r="E237" s="512" t="s">
        <v>766</v>
      </c>
      <c r="F237" s="302" t="s">
        <v>846</v>
      </c>
      <c r="G237" s="296"/>
      <c r="H237" s="296"/>
      <c r="I237" s="296"/>
      <c r="J237" s="296"/>
      <c r="K237" s="296"/>
      <c r="L237" s="296"/>
      <c r="M237" s="296"/>
      <c r="N237" s="296"/>
      <c r="O237" s="296"/>
      <c r="P237" s="296"/>
      <c r="Q237" s="296"/>
      <c r="R237" s="296"/>
      <c r="S237" s="296"/>
      <c r="T237" s="296"/>
      <c r="U237" s="296"/>
      <c r="V237" s="296"/>
      <c r="W237" s="296"/>
      <c r="X237" s="296"/>
      <c r="Y237" s="296"/>
      <c r="Z237" s="296"/>
      <c r="AA237" s="296"/>
      <c r="AB237" s="296"/>
      <c r="AC237" s="296"/>
      <c r="AD237" s="296"/>
      <c r="AE237" s="296"/>
      <c r="AF237" s="296"/>
      <c r="AG237" s="296"/>
      <c r="AH237" s="299"/>
      <c r="AI237" s="296"/>
      <c r="AJ237" s="299"/>
      <c r="AK237" s="299">
        <f t="shared" si="74"/>
        <v>3248</v>
      </c>
      <c r="AL237" s="299">
        <f t="shared" si="71"/>
        <v>877</v>
      </c>
      <c r="AM237" s="299">
        <f t="shared" si="71"/>
        <v>4125</v>
      </c>
      <c r="AN237" s="299">
        <v>3248</v>
      </c>
      <c r="AO237" s="299">
        <v>877</v>
      </c>
      <c r="AP237" s="299">
        <f t="shared" si="68"/>
        <v>4125</v>
      </c>
      <c r="AQ237" s="296">
        <f t="shared" si="75"/>
        <v>0</v>
      </c>
      <c r="AR237" s="296">
        <f t="shared" si="72"/>
        <v>0</v>
      </c>
      <c r="AS237" s="296">
        <f t="shared" si="72"/>
        <v>0</v>
      </c>
      <c r="AT237" s="296">
        <v>3248</v>
      </c>
      <c r="AU237" s="296">
        <v>877</v>
      </c>
      <c r="AV237" s="296">
        <f t="shared" si="69"/>
        <v>4125</v>
      </c>
      <c r="AW237" s="296"/>
      <c r="AX237" s="296"/>
      <c r="AY237" s="296"/>
      <c r="AZ237" s="296">
        <v>3248</v>
      </c>
      <c r="BA237" s="296">
        <v>877</v>
      </c>
      <c r="BB237" s="296">
        <v>4125</v>
      </c>
      <c r="BC237" s="499">
        <f t="shared" si="73"/>
        <v>0</v>
      </c>
      <c r="BD237" s="499">
        <f t="shared" si="73"/>
        <v>-877</v>
      </c>
      <c r="BE237" s="499">
        <f t="shared" si="73"/>
        <v>-877</v>
      </c>
      <c r="BF237" s="296">
        <v>3248</v>
      </c>
      <c r="BG237" s="296">
        <v>0</v>
      </c>
      <c r="BH237" s="296">
        <f t="shared" si="70"/>
        <v>3248</v>
      </c>
      <c r="BI237" s="723"/>
      <c r="BJ237" s="723"/>
      <c r="BK237" s="723"/>
      <c r="BL237" s="723"/>
      <c r="BM237" s="723"/>
      <c r="BN237" s="723"/>
      <c r="BO237" s="723"/>
      <c r="BP237" s="725"/>
      <c r="BQ237" s="723"/>
      <c r="BR237" s="723"/>
      <c r="BS237" s="723"/>
      <c r="BT237" s="723"/>
      <c r="BU237" s="723"/>
      <c r="BV237" s="723"/>
      <c r="BW237" s="723"/>
      <c r="BX237" s="723"/>
      <c r="BY237" s="725"/>
      <c r="BZ237" s="723"/>
      <c r="CA237" s="723"/>
      <c r="CB237" s="516">
        <v>3247654</v>
      </c>
      <c r="CC237" s="297">
        <v>3248</v>
      </c>
      <c r="CD237" s="723"/>
    </row>
    <row r="238" spans="1:82" x14ac:dyDescent="0.2">
      <c r="A238" s="703"/>
      <c r="B238" s="292" t="s">
        <v>1381</v>
      </c>
      <c r="C238" s="329" t="s">
        <v>847</v>
      </c>
      <c r="D238" s="314" t="s">
        <v>729</v>
      </c>
      <c r="E238" s="512" t="s">
        <v>766</v>
      </c>
      <c r="F238" s="302" t="s">
        <v>848</v>
      </c>
      <c r="G238" s="296"/>
      <c r="H238" s="296"/>
      <c r="I238" s="296"/>
      <c r="J238" s="296"/>
      <c r="K238" s="296"/>
      <c r="L238" s="296"/>
      <c r="M238" s="296"/>
      <c r="N238" s="296"/>
      <c r="O238" s="296"/>
      <c r="P238" s="296"/>
      <c r="Q238" s="296"/>
      <c r="R238" s="296"/>
      <c r="S238" s="296"/>
      <c r="T238" s="296"/>
      <c r="U238" s="296"/>
      <c r="V238" s="296"/>
      <c r="W238" s="296"/>
      <c r="X238" s="296"/>
      <c r="Y238" s="296"/>
      <c r="Z238" s="296"/>
      <c r="AA238" s="296"/>
      <c r="AB238" s="296"/>
      <c r="AC238" s="296"/>
      <c r="AD238" s="296"/>
      <c r="AE238" s="296"/>
      <c r="AF238" s="296"/>
      <c r="AG238" s="296"/>
      <c r="AH238" s="299"/>
      <c r="AI238" s="296"/>
      <c r="AJ238" s="299"/>
      <c r="AK238" s="299">
        <f t="shared" si="74"/>
        <v>4139</v>
      </c>
      <c r="AL238" s="299">
        <f t="shared" si="71"/>
        <v>1118</v>
      </c>
      <c r="AM238" s="299">
        <f t="shared" si="71"/>
        <v>5257</v>
      </c>
      <c r="AN238" s="299">
        <v>4139</v>
      </c>
      <c r="AO238" s="299">
        <v>1118</v>
      </c>
      <c r="AP238" s="299">
        <f t="shared" si="68"/>
        <v>5257</v>
      </c>
      <c r="AQ238" s="296">
        <f t="shared" si="75"/>
        <v>0</v>
      </c>
      <c r="AR238" s="296">
        <f t="shared" si="72"/>
        <v>0</v>
      </c>
      <c r="AS238" s="296">
        <f t="shared" si="72"/>
        <v>0</v>
      </c>
      <c r="AT238" s="296">
        <v>4139</v>
      </c>
      <c r="AU238" s="296">
        <v>1118</v>
      </c>
      <c r="AV238" s="296">
        <f t="shared" si="69"/>
        <v>5257</v>
      </c>
      <c r="AW238" s="296"/>
      <c r="AX238" s="296"/>
      <c r="AY238" s="296"/>
      <c r="AZ238" s="296">
        <v>4139</v>
      </c>
      <c r="BA238" s="296">
        <v>1118</v>
      </c>
      <c r="BB238" s="296">
        <v>5257</v>
      </c>
      <c r="BC238" s="499">
        <f t="shared" si="73"/>
        <v>0</v>
      </c>
      <c r="BD238" s="499">
        <f t="shared" si="73"/>
        <v>-1118</v>
      </c>
      <c r="BE238" s="499">
        <f t="shared" si="73"/>
        <v>-1118</v>
      </c>
      <c r="BF238" s="296">
        <v>4139</v>
      </c>
      <c r="BG238" s="296">
        <v>0</v>
      </c>
      <c r="BH238" s="296">
        <f t="shared" si="70"/>
        <v>4139</v>
      </c>
      <c r="BI238" s="723"/>
      <c r="BJ238" s="723"/>
      <c r="BK238" s="723"/>
      <c r="BL238" s="723"/>
      <c r="BM238" s="723"/>
      <c r="BN238" s="723"/>
      <c r="BO238" s="723"/>
      <c r="BP238" s="725"/>
      <c r="BQ238" s="723"/>
      <c r="BR238" s="723"/>
      <c r="BS238" s="723"/>
      <c r="BT238" s="723"/>
      <c r="BU238" s="723"/>
      <c r="BV238" s="723"/>
      <c r="BW238" s="723"/>
      <c r="BX238" s="723"/>
      <c r="BY238" s="725"/>
      <c r="BZ238" s="723"/>
      <c r="CA238" s="723"/>
      <c r="CB238" s="516">
        <v>4139148</v>
      </c>
      <c r="CC238" s="297">
        <v>4139</v>
      </c>
      <c r="CD238" s="723"/>
    </row>
    <row r="239" spans="1:82" ht="22.5" x14ac:dyDescent="0.2">
      <c r="A239" s="703"/>
      <c r="B239" s="292" t="s">
        <v>1381</v>
      </c>
      <c r="C239" s="329" t="s">
        <v>849</v>
      </c>
      <c r="D239" s="314"/>
      <c r="E239" s="512" t="s">
        <v>766</v>
      </c>
      <c r="F239" s="294" t="s">
        <v>850</v>
      </c>
      <c r="G239" s="296"/>
      <c r="H239" s="296"/>
      <c r="I239" s="296"/>
      <c r="J239" s="296"/>
      <c r="K239" s="296"/>
      <c r="L239" s="296"/>
      <c r="M239" s="296"/>
      <c r="N239" s="296"/>
      <c r="O239" s="296"/>
      <c r="P239" s="296"/>
      <c r="Q239" s="296"/>
      <c r="R239" s="296"/>
      <c r="S239" s="296"/>
      <c r="T239" s="296"/>
      <c r="U239" s="296"/>
      <c r="V239" s="296"/>
      <c r="W239" s="296"/>
      <c r="X239" s="296"/>
      <c r="Y239" s="296"/>
      <c r="Z239" s="296"/>
      <c r="AA239" s="296"/>
      <c r="AB239" s="296"/>
      <c r="AC239" s="296"/>
      <c r="AD239" s="296"/>
      <c r="AE239" s="296"/>
      <c r="AF239" s="296"/>
      <c r="AG239" s="296"/>
      <c r="AH239" s="299"/>
      <c r="AI239" s="296"/>
      <c r="AJ239" s="299"/>
      <c r="AK239" s="299">
        <f t="shared" si="74"/>
        <v>920</v>
      </c>
      <c r="AL239" s="299">
        <f t="shared" si="71"/>
        <v>248</v>
      </c>
      <c r="AM239" s="299">
        <f t="shared" si="71"/>
        <v>1168</v>
      </c>
      <c r="AN239" s="299">
        <v>920</v>
      </c>
      <c r="AO239" s="299">
        <v>248</v>
      </c>
      <c r="AP239" s="299">
        <f t="shared" si="68"/>
        <v>1168</v>
      </c>
      <c r="AQ239" s="296">
        <f t="shared" si="75"/>
        <v>0</v>
      </c>
      <c r="AR239" s="296">
        <f t="shared" si="72"/>
        <v>0</v>
      </c>
      <c r="AS239" s="296">
        <f t="shared" si="72"/>
        <v>0</v>
      </c>
      <c r="AT239" s="296">
        <v>920</v>
      </c>
      <c r="AU239" s="296">
        <v>248</v>
      </c>
      <c r="AV239" s="296">
        <f t="shared" si="69"/>
        <v>1168</v>
      </c>
      <c r="AW239" s="296"/>
      <c r="AX239" s="296"/>
      <c r="AY239" s="296"/>
      <c r="AZ239" s="296">
        <v>920</v>
      </c>
      <c r="BA239" s="296">
        <v>248</v>
      </c>
      <c r="BB239" s="296">
        <v>1168</v>
      </c>
      <c r="BC239" s="499">
        <f t="shared" si="73"/>
        <v>0</v>
      </c>
      <c r="BD239" s="499">
        <f t="shared" si="73"/>
        <v>0</v>
      </c>
      <c r="BE239" s="499">
        <f t="shared" si="73"/>
        <v>0</v>
      </c>
      <c r="BF239" s="296">
        <v>920</v>
      </c>
      <c r="BG239" s="296">
        <v>248</v>
      </c>
      <c r="BH239" s="296">
        <f t="shared" si="70"/>
        <v>1168</v>
      </c>
      <c r="BI239" s="723"/>
      <c r="BJ239" s="723"/>
      <c r="BK239" s="723"/>
      <c r="BL239" s="723"/>
      <c r="BM239" s="723"/>
      <c r="BN239" s="723"/>
      <c r="BO239" s="723"/>
      <c r="BP239" s="725"/>
      <c r="BQ239" s="723"/>
      <c r="BR239" s="723"/>
      <c r="BS239" s="723"/>
      <c r="BT239" s="723"/>
      <c r="BU239" s="723"/>
      <c r="BV239" s="723"/>
      <c r="BW239" s="723"/>
      <c r="BX239" s="723"/>
      <c r="BY239" s="725"/>
      <c r="BZ239" s="723"/>
      <c r="CA239" s="723"/>
      <c r="CB239" s="516">
        <v>920000</v>
      </c>
      <c r="CC239" s="297">
        <v>1168</v>
      </c>
      <c r="CD239" s="723"/>
    </row>
    <row r="240" spans="1:82" ht="22.5" x14ac:dyDescent="0.2">
      <c r="A240" s="703"/>
      <c r="B240" s="292" t="s">
        <v>1381</v>
      </c>
      <c r="C240" s="329" t="s">
        <v>851</v>
      </c>
      <c r="D240" s="314" t="s">
        <v>729</v>
      </c>
      <c r="E240" s="512" t="s">
        <v>766</v>
      </c>
      <c r="F240" s="294" t="s">
        <v>852</v>
      </c>
      <c r="G240" s="296"/>
      <c r="H240" s="296"/>
      <c r="I240" s="296"/>
      <c r="J240" s="296"/>
      <c r="K240" s="296"/>
      <c r="L240" s="296"/>
      <c r="M240" s="296"/>
      <c r="N240" s="296"/>
      <c r="O240" s="296"/>
      <c r="P240" s="296"/>
      <c r="Q240" s="296"/>
      <c r="R240" s="296"/>
      <c r="S240" s="296"/>
      <c r="T240" s="296"/>
      <c r="U240" s="296"/>
      <c r="V240" s="296"/>
      <c r="W240" s="296"/>
      <c r="X240" s="296"/>
      <c r="Y240" s="296"/>
      <c r="Z240" s="296"/>
      <c r="AA240" s="296"/>
      <c r="AB240" s="296"/>
      <c r="AC240" s="296"/>
      <c r="AD240" s="296"/>
      <c r="AE240" s="296"/>
      <c r="AF240" s="296"/>
      <c r="AG240" s="296"/>
      <c r="AH240" s="299"/>
      <c r="AI240" s="296"/>
      <c r="AJ240" s="299"/>
      <c r="AK240" s="299">
        <f t="shared" si="74"/>
        <v>12286</v>
      </c>
      <c r="AL240" s="299">
        <f t="shared" si="71"/>
        <v>3317</v>
      </c>
      <c r="AM240" s="299">
        <f t="shared" si="71"/>
        <v>15603</v>
      </c>
      <c r="AN240" s="299">
        <v>12286</v>
      </c>
      <c r="AO240" s="299">
        <v>3317</v>
      </c>
      <c r="AP240" s="299">
        <f t="shared" si="68"/>
        <v>15603</v>
      </c>
      <c r="AQ240" s="296">
        <f t="shared" si="75"/>
        <v>0</v>
      </c>
      <c r="AR240" s="296">
        <f t="shared" si="72"/>
        <v>0</v>
      </c>
      <c r="AS240" s="296">
        <f t="shared" si="72"/>
        <v>0</v>
      </c>
      <c r="AT240" s="296">
        <v>12286</v>
      </c>
      <c r="AU240" s="296">
        <v>3317</v>
      </c>
      <c r="AV240" s="296">
        <f t="shared" si="69"/>
        <v>15603</v>
      </c>
      <c r="AW240" s="296"/>
      <c r="AX240" s="296"/>
      <c r="AY240" s="296"/>
      <c r="AZ240" s="296">
        <v>12286</v>
      </c>
      <c r="BA240" s="296">
        <v>3317</v>
      </c>
      <c r="BB240" s="296">
        <v>15603</v>
      </c>
      <c r="BC240" s="499">
        <f t="shared" si="73"/>
        <v>0</v>
      </c>
      <c r="BD240" s="499">
        <f t="shared" si="73"/>
        <v>-3317</v>
      </c>
      <c r="BE240" s="499">
        <f t="shared" si="73"/>
        <v>-3317</v>
      </c>
      <c r="BF240" s="296">
        <v>12286</v>
      </c>
      <c r="BG240" s="296">
        <v>0</v>
      </c>
      <c r="BH240" s="296">
        <f t="shared" si="70"/>
        <v>12286</v>
      </c>
      <c r="BI240" s="723"/>
      <c r="BJ240" s="723"/>
      <c r="BK240" s="723"/>
      <c r="BL240" s="723"/>
      <c r="BM240" s="723"/>
      <c r="BN240" s="723"/>
      <c r="BO240" s="723"/>
      <c r="BP240" s="725"/>
      <c r="BQ240" s="723"/>
      <c r="BR240" s="723"/>
      <c r="BS240" s="723"/>
      <c r="BT240" s="723"/>
      <c r="BU240" s="723"/>
      <c r="BV240" s="723"/>
      <c r="BW240" s="723"/>
      <c r="BX240" s="723"/>
      <c r="BY240" s="725"/>
      <c r="BZ240" s="723"/>
      <c r="CA240" s="723"/>
      <c r="CB240" s="516">
        <v>12285996</v>
      </c>
      <c r="CC240" s="297">
        <v>12286</v>
      </c>
      <c r="CD240" s="723"/>
    </row>
    <row r="241" spans="1:82" ht="22.5" x14ac:dyDescent="0.2">
      <c r="A241" s="703"/>
      <c r="B241" s="292" t="s">
        <v>1381</v>
      </c>
      <c r="C241" s="329" t="s">
        <v>853</v>
      </c>
      <c r="D241" s="314" t="s">
        <v>729</v>
      </c>
      <c r="E241" s="512" t="s">
        <v>766</v>
      </c>
      <c r="F241" s="294" t="s">
        <v>854</v>
      </c>
      <c r="G241" s="296"/>
      <c r="H241" s="296"/>
      <c r="I241" s="296"/>
      <c r="J241" s="296"/>
      <c r="K241" s="296"/>
      <c r="L241" s="296"/>
      <c r="M241" s="296"/>
      <c r="N241" s="296"/>
      <c r="O241" s="296"/>
      <c r="P241" s="296"/>
      <c r="Q241" s="296"/>
      <c r="R241" s="296"/>
      <c r="S241" s="296"/>
      <c r="T241" s="296"/>
      <c r="U241" s="296"/>
      <c r="V241" s="296"/>
      <c r="W241" s="296"/>
      <c r="X241" s="296"/>
      <c r="Y241" s="296"/>
      <c r="Z241" s="296"/>
      <c r="AA241" s="296"/>
      <c r="AB241" s="296"/>
      <c r="AC241" s="296"/>
      <c r="AD241" s="296"/>
      <c r="AE241" s="296"/>
      <c r="AF241" s="296"/>
      <c r="AG241" s="296"/>
      <c r="AH241" s="299"/>
      <c r="AI241" s="296"/>
      <c r="AJ241" s="299"/>
      <c r="AK241" s="299">
        <f t="shared" si="74"/>
        <v>10997</v>
      </c>
      <c r="AL241" s="299">
        <f t="shared" si="71"/>
        <v>2969</v>
      </c>
      <c r="AM241" s="299">
        <f t="shared" si="71"/>
        <v>13966</v>
      </c>
      <c r="AN241" s="299">
        <v>10997</v>
      </c>
      <c r="AO241" s="299">
        <v>2969</v>
      </c>
      <c r="AP241" s="299">
        <f t="shared" si="68"/>
        <v>13966</v>
      </c>
      <c r="AQ241" s="296">
        <f t="shared" si="75"/>
        <v>0</v>
      </c>
      <c r="AR241" s="296">
        <f t="shared" si="72"/>
        <v>0</v>
      </c>
      <c r="AS241" s="296">
        <f t="shared" si="72"/>
        <v>0</v>
      </c>
      <c r="AT241" s="296">
        <v>10997</v>
      </c>
      <c r="AU241" s="296">
        <v>2969</v>
      </c>
      <c r="AV241" s="296">
        <f t="shared" si="69"/>
        <v>13966</v>
      </c>
      <c r="AW241" s="296"/>
      <c r="AX241" s="296"/>
      <c r="AY241" s="296"/>
      <c r="AZ241" s="296">
        <v>10997</v>
      </c>
      <c r="BA241" s="296">
        <v>2969</v>
      </c>
      <c r="BB241" s="296">
        <v>13966</v>
      </c>
      <c r="BC241" s="499">
        <f t="shared" si="73"/>
        <v>0</v>
      </c>
      <c r="BD241" s="499">
        <f t="shared" si="73"/>
        <v>-2969</v>
      </c>
      <c r="BE241" s="499">
        <f t="shared" si="73"/>
        <v>-2969</v>
      </c>
      <c r="BF241" s="296">
        <v>10997</v>
      </c>
      <c r="BG241" s="296">
        <v>0</v>
      </c>
      <c r="BH241" s="296">
        <f t="shared" si="70"/>
        <v>10997</v>
      </c>
      <c r="BI241" s="723"/>
      <c r="BJ241" s="723"/>
      <c r="BK241" s="723"/>
      <c r="BL241" s="723"/>
      <c r="BM241" s="723"/>
      <c r="BN241" s="723"/>
      <c r="BO241" s="723"/>
      <c r="BP241" s="725"/>
      <c r="BQ241" s="723"/>
      <c r="BR241" s="723"/>
      <c r="BS241" s="723"/>
      <c r="BT241" s="723"/>
      <c r="BU241" s="723"/>
      <c r="BV241" s="723"/>
      <c r="BW241" s="723"/>
      <c r="BX241" s="723"/>
      <c r="BY241" s="725"/>
      <c r="BZ241" s="723"/>
      <c r="CA241" s="723"/>
      <c r="CB241" s="516">
        <v>10996999</v>
      </c>
      <c r="CC241" s="297">
        <v>10997</v>
      </c>
      <c r="CD241" s="723"/>
    </row>
    <row r="242" spans="1:82" ht="22.5" x14ac:dyDescent="0.2">
      <c r="A242" s="703"/>
      <c r="B242" s="292" t="s">
        <v>1381</v>
      </c>
      <c r="C242" s="329" t="s">
        <v>855</v>
      </c>
      <c r="D242" s="314" t="s">
        <v>729</v>
      </c>
      <c r="E242" s="512" t="s">
        <v>766</v>
      </c>
      <c r="F242" s="294" t="s">
        <v>856</v>
      </c>
      <c r="G242" s="296"/>
      <c r="H242" s="296"/>
      <c r="I242" s="296"/>
      <c r="J242" s="296"/>
      <c r="K242" s="296"/>
      <c r="L242" s="296"/>
      <c r="M242" s="296"/>
      <c r="N242" s="296"/>
      <c r="O242" s="296"/>
      <c r="P242" s="296"/>
      <c r="Q242" s="296"/>
      <c r="R242" s="296"/>
      <c r="S242" s="296"/>
      <c r="T242" s="296"/>
      <c r="U242" s="296"/>
      <c r="V242" s="296"/>
      <c r="W242" s="296"/>
      <c r="X242" s="296"/>
      <c r="Y242" s="296"/>
      <c r="Z242" s="296"/>
      <c r="AA242" s="296"/>
      <c r="AB242" s="296"/>
      <c r="AC242" s="296"/>
      <c r="AD242" s="296"/>
      <c r="AE242" s="296"/>
      <c r="AF242" s="296"/>
      <c r="AG242" s="296"/>
      <c r="AH242" s="299"/>
      <c r="AI242" s="296"/>
      <c r="AJ242" s="299"/>
      <c r="AK242" s="299">
        <f t="shared" si="74"/>
        <v>12624</v>
      </c>
      <c r="AL242" s="299">
        <f t="shared" si="71"/>
        <v>3408</v>
      </c>
      <c r="AM242" s="299">
        <f t="shared" si="71"/>
        <v>16032</v>
      </c>
      <c r="AN242" s="299">
        <v>12624</v>
      </c>
      <c r="AO242" s="299">
        <v>3408</v>
      </c>
      <c r="AP242" s="299">
        <f t="shared" si="68"/>
        <v>16032</v>
      </c>
      <c r="AQ242" s="296">
        <f t="shared" si="75"/>
        <v>0</v>
      </c>
      <c r="AR242" s="296">
        <f t="shared" si="72"/>
        <v>0</v>
      </c>
      <c r="AS242" s="296">
        <f t="shared" si="72"/>
        <v>0</v>
      </c>
      <c r="AT242" s="296">
        <v>12624</v>
      </c>
      <c r="AU242" s="296">
        <v>3408</v>
      </c>
      <c r="AV242" s="296">
        <f t="shared" si="69"/>
        <v>16032</v>
      </c>
      <c r="AW242" s="296"/>
      <c r="AX242" s="296"/>
      <c r="AY242" s="296"/>
      <c r="AZ242" s="296">
        <v>12624</v>
      </c>
      <c r="BA242" s="296">
        <v>3408</v>
      </c>
      <c r="BB242" s="296">
        <v>16032</v>
      </c>
      <c r="BC242" s="499">
        <f t="shared" si="73"/>
        <v>0</v>
      </c>
      <c r="BD242" s="499">
        <f t="shared" si="73"/>
        <v>-3408</v>
      </c>
      <c r="BE242" s="499">
        <f t="shared" si="73"/>
        <v>-3408</v>
      </c>
      <c r="BF242" s="296">
        <v>12624</v>
      </c>
      <c r="BG242" s="296">
        <v>0</v>
      </c>
      <c r="BH242" s="296">
        <f t="shared" si="70"/>
        <v>12624</v>
      </c>
      <c r="BI242" s="723"/>
      <c r="BJ242" s="723"/>
      <c r="BK242" s="723"/>
      <c r="BL242" s="723"/>
      <c r="BM242" s="723"/>
      <c r="BN242" s="723"/>
      <c r="BO242" s="723"/>
      <c r="BP242" s="725"/>
      <c r="BQ242" s="723"/>
      <c r="BR242" s="723"/>
      <c r="BS242" s="723"/>
      <c r="BT242" s="723"/>
      <c r="BU242" s="723"/>
      <c r="BV242" s="723"/>
      <c r="BW242" s="723"/>
      <c r="BX242" s="723"/>
      <c r="BY242" s="725"/>
      <c r="BZ242" s="723"/>
      <c r="CA242" s="723"/>
      <c r="CB242" s="516">
        <v>12623774</v>
      </c>
      <c r="CC242" s="297">
        <v>12624</v>
      </c>
      <c r="CD242" s="723"/>
    </row>
    <row r="243" spans="1:82" x14ac:dyDescent="0.2">
      <c r="A243" s="703"/>
      <c r="B243" s="292" t="s">
        <v>1381</v>
      </c>
      <c r="C243" s="329" t="s">
        <v>857</v>
      </c>
      <c r="D243" s="314" t="s">
        <v>729</v>
      </c>
      <c r="E243" s="512" t="s">
        <v>766</v>
      </c>
      <c r="F243" s="294" t="s">
        <v>858</v>
      </c>
      <c r="G243" s="296"/>
      <c r="H243" s="296"/>
      <c r="I243" s="296"/>
      <c r="J243" s="296"/>
      <c r="K243" s="296"/>
      <c r="L243" s="296"/>
      <c r="M243" s="296"/>
      <c r="N243" s="296"/>
      <c r="O243" s="296"/>
      <c r="P243" s="296"/>
      <c r="Q243" s="296"/>
      <c r="R243" s="296"/>
      <c r="S243" s="296"/>
      <c r="T243" s="296"/>
      <c r="U243" s="296"/>
      <c r="V243" s="296"/>
      <c r="W243" s="296"/>
      <c r="X243" s="296"/>
      <c r="Y243" s="296"/>
      <c r="Z243" s="296"/>
      <c r="AA243" s="296"/>
      <c r="AB243" s="296"/>
      <c r="AC243" s="296"/>
      <c r="AD243" s="296"/>
      <c r="AE243" s="296"/>
      <c r="AF243" s="296"/>
      <c r="AG243" s="296"/>
      <c r="AH243" s="299"/>
      <c r="AI243" s="296"/>
      <c r="AJ243" s="299"/>
      <c r="AK243" s="299">
        <v>7945</v>
      </c>
      <c r="AL243" s="299">
        <f t="shared" si="71"/>
        <v>2145</v>
      </c>
      <c r="AM243" s="299">
        <f t="shared" si="71"/>
        <v>10091</v>
      </c>
      <c r="AN243" s="299">
        <v>7946</v>
      </c>
      <c r="AO243" s="299">
        <v>2145</v>
      </c>
      <c r="AP243" s="499">
        <f t="shared" si="68"/>
        <v>10091</v>
      </c>
      <c r="AQ243" s="296">
        <f t="shared" si="75"/>
        <v>0</v>
      </c>
      <c r="AR243" s="296">
        <f t="shared" si="72"/>
        <v>0</v>
      </c>
      <c r="AS243" s="296">
        <f t="shared" si="72"/>
        <v>0</v>
      </c>
      <c r="AT243" s="296">
        <v>7946</v>
      </c>
      <c r="AU243" s="296">
        <v>2145</v>
      </c>
      <c r="AV243" s="296">
        <f t="shared" si="69"/>
        <v>10091</v>
      </c>
      <c r="AW243" s="296"/>
      <c r="AX243" s="296"/>
      <c r="AY243" s="296"/>
      <c r="AZ243" s="296">
        <v>7946</v>
      </c>
      <c r="BA243" s="296">
        <v>2145</v>
      </c>
      <c r="BB243" s="296">
        <v>10091</v>
      </c>
      <c r="BC243" s="499">
        <f t="shared" si="73"/>
        <v>0</v>
      </c>
      <c r="BD243" s="499">
        <f t="shared" si="73"/>
        <v>-2145</v>
      </c>
      <c r="BE243" s="499">
        <f t="shared" si="73"/>
        <v>-2145</v>
      </c>
      <c r="BF243" s="296">
        <v>7946</v>
      </c>
      <c r="BG243" s="296">
        <v>0</v>
      </c>
      <c r="BH243" s="296">
        <f t="shared" si="70"/>
        <v>7946</v>
      </c>
      <c r="BI243" s="723"/>
      <c r="BJ243" s="723"/>
      <c r="BK243" s="723"/>
      <c r="BL243" s="723"/>
      <c r="BM243" s="723"/>
      <c r="BN243" s="723"/>
      <c r="BO243" s="723"/>
      <c r="BP243" s="725"/>
      <c r="BQ243" s="723"/>
      <c r="BR243" s="723"/>
      <c r="BS243" s="723"/>
      <c r="BT243" s="723"/>
      <c r="BU243" s="723"/>
      <c r="BV243" s="723"/>
      <c r="BW243" s="723"/>
      <c r="BX243" s="723"/>
      <c r="BY243" s="725"/>
      <c r="BZ243" s="723"/>
      <c r="CA243" s="723"/>
      <c r="CB243" s="516">
        <v>7945696</v>
      </c>
      <c r="CC243" s="297">
        <v>7946</v>
      </c>
      <c r="CD243" s="723"/>
    </row>
    <row r="244" spans="1:82" x14ac:dyDescent="0.2">
      <c r="A244" s="703"/>
      <c r="B244" s="292" t="s">
        <v>1381</v>
      </c>
      <c r="C244" s="329" t="s">
        <v>859</v>
      </c>
      <c r="D244" s="314" t="s">
        <v>729</v>
      </c>
      <c r="E244" s="512" t="s">
        <v>766</v>
      </c>
      <c r="F244" s="294" t="s">
        <v>860</v>
      </c>
      <c r="G244" s="296"/>
      <c r="H244" s="296"/>
      <c r="I244" s="296"/>
      <c r="J244" s="296"/>
      <c r="K244" s="296"/>
      <c r="L244" s="296"/>
      <c r="M244" s="296"/>
      <c r="N244" s="296"/>
      <c r="O244" s="296"/>
      <c r="P244" s="296"/>
      <c r="Q244" s="296"/>
      <c r="R244" s="296"/>
      <c r="S244" s="296"/>
      <c r="T244" s="296"/>
      <c r="U244" s="296"/>
      <c r="V244" s="296"/>
      <c r="W244" s="296"/>
      <c r="X244" s="296"/>
      <c r="Y244" s="296"/>
      <c r="Z244" s="296"/>
      <c r="AA244" s="296"/>
      <c r="AB244" s="296"/>
      <c r="AC244" s="296"/>
      <c r="AD244" s="296"/>
      <c r="AE244" s="296"/>
      <c r="AF244" s="296"/>
      <c r="AG244" s="296"/>
      <c r="AH244" s="299"/>
      <c r="AI244" s="296"/>
      <c r="AJ244" s="299"/>
      <c r="AK244" s="299">
        <f>AN244-AH244</f>
        <v>9486</v>
      </c>
      <c r="AL244" s="299">
        <f t="shared" si="71"/>
        <v>2562</v>
      </c>
      <c r="AM244" s="299">
        <f t="shared" si="71"/>
        <v>12048</v>
      </c>
      <c r="AN244" s="299">
        <v>9486</v>
      </c>
      <c r="AO244" s="299">
        <v>2562</v>
      </c>
      <c r="AP244" s="499">
        <f t="shared" si="68"/>
        <v>12048</v>
      </c>
      <c r="AQ244" s="296">
        <f t="shared" si="75"/>
        <v>0</v>
      </c>
      <c r="AR244" s="296">
        <f t="shared" si="72"/>
        <v>0</v>
      </c>
      <c r="AS244" s="296">
        <f t="shared" si="72"/>
        <v>0</v>
      </c>
      <c r="AT244" s="296">
        <v>9486</v>
      </c>
      <c r="AU244" s="296">
        <v>2562</v>
      </c>
      <c r="AV244" s="296">
        <f t="shared" si="69"/>
        <v>12048</v>
      </c>
      <c r="AW244" s="296"/>
      <c r="AX244" s="296"/>
      <c r="AY244" s="296"/>
      <c r="AZ244" s="296">
        <v>9486</v>
      </c>
      <c r="BA244" s="296">
        <v>2562</v>
      </c>
      <c r="BB244" s="296">
        <v>12048</v>
      </c>
      <c r="BC244" s="499">
        <f t="shared" si="73"/>
        <v>0</v>
      </c>
      <c r="BD244" s="499">
        <f t="shared" si="73"/>
        <v>-2562</v>
      </c>
      <c r="BE244" s="499">
        <f t="shared" si="73"/>
        <v>-2562</v>
      </c>
      <c r="BF244" s="296">
        <v>9486</v>
      </c>
      <c r="BG244" s="296">
        <v>0</v>
      </c>
      <c r="BH244" s="296">
        <f t="shared" si="70"/>
        <v>9486</v>
      </c>
      <c r="BI244" s="723"/>
      <c r="BJ244" s="723"/>
      <c r="BK244" s="723"/>
      <c r="BL244" s="723"/>
      <c r="BM244" s="723"/>
      <c r="BN244" s="723"/>
      <c r="BO244" s="723"/>
      <c r="BP244" s="725"/>
      <c r="BQ244" s="723"/>
      <c r="BR244" s="723"/>
      <c r="BS244" s="723"/>
      <c r="BT244" s="723"/>
      <c r="BU244" s="723"/>
      <c r="BV244" s="723"/>
      <c r="BW244" s="723"/>
      <c r="BX244" s="723"/>
      <c r="BY244" s="725"/>
      <c r="BZ244" s="723"/>
      <c r="CA244" s="723"/>
      <c r="CB244" s="516">
        <v>9486249</v>
      </c>
      <c r="CC244" s="297">
        <v>9486</v>
      </c>
      <c r="CD244" s="723"/>
    </row>
    <row r="245" spans="1:82" x14ac:dyDescent="0.2">
      <c r="A245" s="703"/>
      <c r="B245" s="292" t="s">
        <v>1381</v>
      </c>
      <c r="C245" s="329" t="s">
        <v>861</v>
      </c>
      <c r="D245" s="314"/>
      <c r="E245" s="512" t="s">
        <v>766</v>
      </c>
      <c r="F245" s="294" t="s">
        <v>862</v>
      </c>
      <c r="G245" s="296"/>
      <c r="H245" s="296"/>
      <c r="I245" s="296"/>
      <c r="J245" s="296"/>
      <c r="K245" s="296"/>
      <c r="L245" s="296"/>
      <c r="M245" s="296"/>
      <c r="N245" s="296"/>
      <c r="O245" s="296"/>
      <c r="P245" s="296"/>
      <c r="Q245" s="296"/>
      <c r="R245" s="296"/>
      <c r="S245" s="296"/>
      <c r="T245" s="296"/>
      <c r="U245" s="296"/>
      <c r="V245" s="296"/>
      <c r="W245" s="296"/>
      <c r="X245" s="296"/>
      <c r="Y245" s="296"/>
      <c r="Z245" s="296"/>
      <c r="AA245" s="296"/>
      <c r="AB245" s="296"/>
      <c r="AC245" s="296"/>
      <c r="AD245" s="296"/>
      <c r="AE245" s="296"/>
      <c r="AF245" s="296"/>
      <c r="AG245" s="296"/>
      <c r="AH245" s="299"/>
      <c r="AI245" s="296"/>
      <c r="AJ245" s="299"/>
      <c r="AK245" s="299">
        <v>1294</v>
      </c>
      <c r="AL245" s="299">
        <f t="shared" si="71"/>
        <v>350</v>
      </c>
      <c r="AM245" s="299">
        <f t="shared" si="71"/>
        <v>1645</v>
      </c>
      <c r="AN245" s="299">
        <v>1295</v>
      </c>
      <c r="AO245" s="299">
        <v>350</v>
      </c>
      <c r="AP245" s="499">
        <f t="shared" si="68"/>
        <v>1645</v>
      </c>
      <c r="AQ245" s="296">
        <f t="shared" si="75"/>
        <v>0</v>
      </c>
      <c r="AR245" s="296">
        <f t="shared" si="72"/>
        <v>0</v>
      </c>
      <c r="AS245" s="296">
        <f t="shared" si="72"/>
        <v>0</v>
      </c>
      <c r="AT245" s="296">
        <v>1295</v>
      </c>
      <c r="AU245" s="296">
        <v>350</v>
      </c>
      <c r="AV245" s="296">
        <f t="shared" si="69"/>
        <v>1645</v>
      </c>
      <c r="AW245" s="296"/>
      <c r="AX245" s="296"/>
      <c r="AY245" s="296"/>
      <c r="AZ245" s="296">
        <v>1295</v>
      </c>
      <c r="BA245" s="296">
        <v>350</v>
      </c>
      <c r="BB245" s="296">
        <v>1645</v>
      </c>
      <c r="BC245" s="499">
        <f t="shared" si="73"/>
        <v>0</v>
      </c>
      <c r="BD245" s="499">
        <f t="shared" si="73"/>
        <v>0</v>
      </c>
      <c r="BE245" s="499">
        <f t="shared" si="73"/>
        <v>0</v>
      </c>
      <c r="BF245" s="296">
        <v>1295</v>
      </c>
      <c r="BG245" s="296">
        <v>350</v>
      </c>
      <c r="BH245" s="296">
        <f t="shared" si="70"/>
        <v>1645</v>
      </c>
      <c r="BI245" s="723"/>
      <c r="BJ245" s="723"/>
      <c r="BK245" s="723"/>
      <c r="BL245" s="723"/>
      <c r="BM245" s="723"/>
      <c r="BN245" s="723"/>
      <c r="BO245" s="723"/>
      <c r="BP245" s="725"/>
      <c r="BQ245" s="723"/>
      <c r="BR245" s="723"/>
      <c r="BS245" s="723"/>
      <c r="BT245" s="723"/>
      <c r="BU245" s="723"/>
      <c r="BV245" s="723"/>
      <c r="BW245" s="723"/>
      <c r="BX245" s="723"/>
      <c r="BY245" s="725"/>
      <c r="BZ245" s="723"/>
      <c r="CA245" s="723"/>
      <c r="CB245" s="516">
        <v>1294600</v>
      </c>
      <c r="CC245" s="297">
        <v>1644</v>
      </c>
      <c r="CD245" s="723"/>
    </row>
    <row r="246" spans="1:82" ht="22.5" x14ac:dyDescent="0.2">
      <c r="A246" s="703"/>
      <c r="B246" s="292" t="s">
        <v>1381</v>
      </c>
      <c r="C246" s="329" t="s">
        <v>863</v>
      </c>
      <c r="D246" s="314"/>
      <c r="E246" s="512" t="s">
        <v>766</v>
      </c>
      <c r="F246" s="294" t="s">
        <v>864</v>
      </c>
      <c r="G246" s="296"/>
      <c r="H246" s="296"/>
      <c r="I246" s="296"/>
      <c r="J246" s="296"/>
      <c r="K246" s="296"/>
      <c r="L246" s="296"/>
      <c r="M246" s="296"/>
      <c r="N246" s="296"/>
      <c r="O246" s="296"/>
      <c r="P246" s="296"/>
      <c r="Q246" s="296"/>
      <c r="R246" s="296"/>
      <c r="S246" s="296"/>
      <c r="T246" s="296"/>
      <c r="U246" s="296"/>
      <c r="V246" s="296"/>
      <c r="W246" s="296"/>
      <c r="X246" s="296"/>
      <c r="Y246" s="296"/>
      <c r="Z246" s="296"/>
      <c r="AA246" s="296"/>
      <c r="AB246" s="296"/>
      <c r="AC246" s="296"/>
      <c r="AD246" s="296"/>
      <c r="AE246" s="296"/>
      <c r="AF246" s="296"/>
      <c r="AG246" s="296"/>
      <c r="AH246" s="299"/>
      <c r="AI246" s="296"/>
      <c r="AJ246" s="299"/>
      <c r="AK246" s="299">
        <v>3944</v>
      </c>
      <c r="AL246" s="299">
        <f t="shared" si="71"/>
        <v>1065</v>
      </c>
      <c r="AM246" s="299">
        <f t="shared" si="71"/>
        <v>5008</v>
      </c>
      <c r="AN246" s="299">
        <v>3943</v>
      </c>
      <c r="AO246" s="299">
        <v>1065</v>
      </c>
      <c r="AP246" s="499">
        <f t="shared" si="68"/>
        <v>5008</v>
      </c>
      <c r="AQ246" s="296">
        <f t="shared" si="75"/>
        <v>0</v>
      </c>
      <c r="AR246" s="296">
        <f t="shared" si="72"/>
        <v>0</v>
      </c>
      <c r="AS246" s="296">
        <f t="shared" si="72"/>
        <v>0</v>
      </c>
      <c r="AT246" s="296">
        <v>3943</v>
      </c>
      <c r="AU246" s="296">
        <v>1065</v>
      </c>
      <c r="AV246" s="296">
        <f t="shared" si="69"/>
        <v>5008</v>
      </c>
      <c r="AW246" s="296"/>
      <c r="AX246" s="296"/>
      <c r="AY246" s="296"/>
      <c r="AZ246" s="296">
        <v>3943</v>
      </c>
      <c r="BA246" s="296">
        <v>1065</v>
      </c>
      <c r="BB246" s="296">
        <v>5008</v>
      </c>
      <c r="BC246" s="499">
        <f t="shared" si="73"/>
        <v>0</v>
      </c>
      <c r="BD246" s="499">
        <f t="shared" si="73"/>
        <v>0</v>
      </c>
      <c r="BE246" s="499">
        <f t="shared" si="73"/>
        <v>0</v>
      </c>
      <c r="BF246" s="296">
        <v>3943</v>
      </c>
      <c r="BG246" s="296">
        <v>1065</v>
      </c>
      <c r="BH246" s="296">
        <f t="shared" si="70"/>
        <v>5008</v>
      </c>
      <c r="BI246" s="723"/>
      <c r="BJ246" s="723"/>
      <c r="BK246" s="723"/>
      <c r="BL246" s="723"/>
      <c r="BM246" s="723"/>
      <c r="BN246" s="723"/>
      <c r="BO246" s="723"/>
      <c r="BP246" s="725"/>
      <c r="BQ246" s="723"/>
      <c r="BR246" s="723"/>
      <c r="BS246" s="723"/>
      <c r="BT246" s="723"/>
      <c r="BU246" s="723"/>
      <c r="BV246" s="723"/>
      <c r="BW246" s="723"/>
      <c r="BX246" s="723"/>
      <c r="BY246" s="725"/>
      <c r="BZ246" s="723"/>
      <c r="CA246" s="723"/>
      <c r="CB246" s="516">
        <v>3943200</v>
      </c>
      <c r="CC246" s="297">
        <v>5008</v>
      </c>
      <c r="CD246" s="723"/>
    </row>
    <row r="247" spans="1:82" x14ac:dyDescent="0.2">
      <c r="A247" s="703"/>
      <c r="B247" s="292" t="s">
        <v>1381</v>
      </c>
      <c r="C247" s="329" t="s">
        <v>865</v>
      </c>
      <c r="D247" s="314"/>
      <c r="E247" s="512" t="s">
        <v>766</v>
      </c>
      <c r="F247" s="294" t="s">
        <v>866</v>
      </c>
      <c r="G247" s="296"/>
      <c r="H247" s="296"/>
      <c r="I247" s="296"/>
      <c r="J247" s="296"/>
      <c r="K247" s="296"/>
      <c r="L247" s="296"/>
      <c r="M247" s="296"/>
      <c r="N247" s="296"/>
      <c r="O247" s="296"/>
      <c r="P247" s="296"/>
      <c r="Q247" s="296"/>
      <c r="R247" s="296"/>
      <c r="S247" s="296"/>
      <c r="T247" s="296"/>
      <c r="U247" s="296"/>
      <c r="V247" s="296"/>
      <c r="W247" s="296"/>
      <c r="X247" s="296"/>
      <c r="Y247" s="296"/>
      <c r="Z247" s="296"/>
      <c r="AA247" s="296"/>
      <c r="AB247" s="296"/>
      <c r="AC247" s="296"/>
      <c r="AD247" s="296"/>
      <c r="AE247" s="296"/>
      <c r="AF247" s="296"/>
      <c r="AG247" s="296"/>
      <c r="AH247" s="299"/>
      <c r="AI247" s="296"/>
      <c r="AJ247" s="299"/>
      <c r="AK247" s="299">
        <f>AN247-AH247</f>
        <v>6559</v>
      </c>
      <c r="AL247" s="299">
        <f t="shared" si="71"/>
        <v>1771</v>
      </c>
      <c r="AM247" s="299">
        <f t="shared" si="71"/>
        <v>8330</v>
      </c>
      <c r="AN247" s="299">
        <v>6559</v>
      </c>
      <c r="AO247" s="299">
        <v>1771</v>
      </c>
      <c r="AP247" s="499">
        <f t="shared" si="68"/>
        <v>8330</v>
      </c>
      <c r="AQ247" s="296">
        <f t="shared" si="75"/>
        <v>0</v>
      </c>
      <c r="AR247" s="296">
        <f t="shared" si="72"/>
        <v>0</v>
      </c>
      <c r="AS247" s="296">
        <f t="shared" si="72"/>
        <v>0</v>
      </c>
      <c r="AT247" s="296">
        <v>6559</v>
      </c>
      <c r="AU247" s="296">
        <v>1771</v>
      </c>
      <c r="AV247" s="296">
        <f t="shared" si="69"/>
        <v>8330</v>
      </c>
      <c r="AW247" s="296"/>
      <c r="AX247" s="296"/>
      <c r="AY247" s="296"/>
      <c r="AZ247" s="296">
        <v>6559</v>
      </c>
      <c r="BA247" s="296">
        <v>1771</v>
      </c>
      <c r="BB247" s="296">
        <v>8330</v>
      </c>
      <c r="BC247" s="499">
        <f t="shared" si="73"/>
        <v>0</v>
      </c>
      <c r="BD247" s="499">
        <f t="shared" si="73"/>
        <v>0</v>
      </c>
      <c r="BE247" s="499">
        <f t="shared" si="73"/>
        <v>0</v>
      </c>
      <c r="BF247" s="296">
        <v>6559</v>
      </c>
      <c r="BG247" s="296">
        <v>1771</v>
      </c>
      <c r="BH247" s="296">
        <f t="shared" si="70"/>
        <v>8330</v>
      </c>
      <c r="BI247" s="723"/>
      <c r="BJ247" s="723"/>
      <c r="BK247" s="723"/>
      <c r="BL247" s="723"/>
      <c r="BM247" s="723"/>
      <c r="BN247" s="723"/>
      <c r="BO247" s="723"/>
      <c r="BP247" s="725"/>
      <c r="BQ247" s="723"/>
      <c r="BR247" s="723"/>
      <c r="BS247" s="723"/>
      <c r="BT247" s="723"/>
      <c r="BU247" s="723"/>
      <c r="BV247" s="723"/>
      <c r="BW247" s="723"/>
      <c r="BX247" s="723"/>
      <c r="BY247" s="725"/>
      <c r="BZ247" s="723"/>
      <c r="CA247" s="723"/>
      <c r="CB247" s="516">
        <v>6559000</v>
      </c>
      <c r="CC247" s="297">
        <v>8330</v>
      </c>
      <c r="CD247" s="723"/>
    </row>
    <row r="248" spans="1:82" x14ac:dyDescent="0.2">
      <c r="A248" s="703"/>
      <c r="B248" s="292" t="s">
        <v>1381</v>
      </c>
      <c r="C248" s="329" t="s">
        <v>867</v>
      </c>
      <c r="D248" s="314" t="s">
        <v>729</v>
      </c>
      <c r="E248" s="512" t="s">
        <v>766</v>
      </c>
      <c r="F248" s="294" t="s">
        <v>868</v>
      </c>
      <c r="G248" s="296"/>
      <c r="H248" s="296"/>
      <c r="I248" s="296"/>
      <c r="J248" s="296"/>
      <c r="K248" s="296"/>
      <c r="L248" s="296"/>
      <c r="M248" s="296"/>
      <c r="N248" s="296"/>
      <c r="O248" s="296"/>
      <c r="P248" s="296"/>
      <c r="Q248" s="296"/>
      <c r="R248" s="296"/>
      <c r="S248" s="296"/>
      <c r="T248" s="296"/>
      <c r="U248" s="296"/>
      <c r="V248" s="296"/>
      <c r="W248" s="296"/>
      <c r="X248" s="296"/>
      <c r="Y248" s="296"/>
      <c r="Z248" s="296"/>
      <c r="AA248" s="296"/>
      <c r="AB248" s="296"/>
      <c r="AC248" s="296"/>
      <c r="AD248" s="296"/>
      <c r="AE248" s="296"/>
      <c r="AF248" s="296"/>
      <c r="AG248" s="296"/>
      <c r="AH248" s="299"/>
      <c r="AI248" s="296"/>
      <c r="AJ248" s="299"/>
      <c r="AK248" s="299">
        <v>14661</v>
      </c>
      <c r="AL248" s="299">
        <f t="shared" si="71"/>
        <v>3959</v>
      </c>
      <c r="AM248" s="299">
        <f t="shared" si="71"/>
        <v>18620</v>
      </c>
      <c r="AN248" s="299">
        <v>14661</v>
      </c>
      <c r="AO248" s="299">
        <v>3959</v>
      </c>
      <c r="AP248" s="499">
        <f t="shared" si="68"/>
        <v>18620</v>
      </c>
      <c r="AQ248" s="296">
        <f t="shared" si="75"/>
        <v>0</v>
      </c>
      <c r="AR248" s="296">
        <f t="shared" si="72"/>
        <v>0</v>
      </c>
      <c r="AS248" s="296">
        <f t="shared" si="72"/>
        <v>0</v>
      </c>
      <c r="AT248" s="296">
        <v>14661</v>
      </c>
      <c r="AU248" s="296">
        <v>3959</v>
      </c>
      <c r="AV248" s="296">
        <f t="shared" si="69"/>
        <v>18620</v>
      </c>
      <c r="AW248" s="296"/>
      <c r="AX248" s="296"/>
      <c r="AY248" s="296"/>
      <c r="AZ248" s="296">
        <v>14661</v>
      </c>
      <c r="BA248" s="296">
        <v>3959</v>
      </c>
      <c r="BB248" s="296">
        <v>18620</v>
      </c>
      <c r="BC248" s="499">
        <f t="shared" si="73"/>
        <v>0</v>
      </c>
      <c r="BD248" s="499">
        <f t="shared" si="73"/>
        <v>-3959</v>
      </c>
      <c r="BE248" s="499">
        <f t="shared" si="73"/>
        <v>-3959</v>
      </c>
      <c r="BF248" s="296">
        <v>14661</v>
      </c>
      <c r="BG248" s="296">
        <v>0</v>
      </c>
      <c r="BH248" s="296">
        <f t="shared" si="70"/>
        <v>14661</v>
      </c>
      <c r="BI248" s="723"/>
      <c r="BJ248" s="723"/>
      <c r="BK248" s="723"/>
      <c r="BL248" s="723"/>
      <c r="BM248" s="723"/>
      <c r="BN248" s="723"/>
      <c r="BO248" s="723"/>
      <c r="BP248" s="725"/>
      <c r="BQ248" s="723"/>
      <c r="BR248" s="723"/>
      <c r="BS248" s="723"/>
      <c r="BT248" s="723"/>
      <c r="BU248" s="723"/>
      <c r="BV248" s="723"/>
      <c r="BW248" s="723"/>
      <c r="BX248" s="723"/>
      <c r="BY248" s="725"/>
      <c r="BZ248" s="723"/>
      <c r="CA248" s="723"/>
      <c r="CB248" s="516">
        <v>14661400</v>
      </c>
      <c r="CC248" s="297">
        <v>14661</v>
      </c>
      <c r="CD248" s="723"/>
    </row>
    <row r="249" spans="1:82" x14ac:dyDescent="0.2">
      <c r="A249" s="703"/>
      <c r="B249" s="292" t="s">
        <v>1381</v>
      </c>
      <c r="C249" s="293" t="s">
        <v>869</v>
      </c>
      <c r="D249" s="314"/>
      <c r="E249" s="512" t="s">
        <v>766</v>
      </c>
      <c r="F249" s="294" t="s">
        <v>870</v>
      </c>
      <c r="G249" s="296"/>
      <c r="H249" s="296"/>
      <c r="I249" s="296"/>
      <c r="J249" s="296"/>
      <c r="K249" s="296"/>
      <c r="L249" s="296"/>
      <c r="M249" s="296"/>
      <c r="N249" s="296"/>
      <c r="O249" s="296"/>
      <c r="P249" s="296"/>
      <c r="Q249" s="296"/>
      <c r="R249" s="296"/>
      <c r="S249" s="296"/>
      <c r="T249" s="296"/>
      <c r="U249" s="296"/>
      <c r="V249" s="296"/>
      <c r="W249" s="296"/>
      <c r="X249" s="296"/>
      <c r="Y249" s="296"/>
      <c r="Z249" s="296"/>
      <c r="AA249" s="296"/>
      <c r="AB249" s="296"/>
      <c r="AC249" s="296"/>
      <c r="AD249" s="296"/>
      <c r="AE249" s="296"/>
      <c r="AF249" s="296"/>
      <c r="AG249" s="296"/>
      <c r="AH249" s="299"/>
      <c r="AI249" s="296"/>
      <c r="AJ249" s="299"/>
      <c r="AK249" s="299">
        <v>10812</v>
      </c>
      <c r="AL249" s="299">
        <f t="shared" si="71"/>
        <v>2919</v>
      </c>
      <c r="AM249" s="299">
        <f t="shared" si="71"/>
        <v>13732</v>
      </c>
      <c r="AN249" s="299">
        <v>10813</v>
      </c>
      <c r="AO249" s="299">
        <v>2919</v>
      </c>
      <c r="AP249" s="499">
        <f t="shared" si="68"/>
        <v>13732</v>
      </c>
      <c r="AQ249" s="296">
        <f t="shared" si="75"/>
        <v>0</v>
      </c>
      <c r="AR249" s="296">
        <f t="shared" si="72"/>
        <v>0</v>
      </c>
      <c r="AS249" s="296">
        <f t="shared" si="72"/>
        <v>0</v>
      </c>
      <c r="AT249" s="296">
        <v>10813</v>
      </c>
      <c r="AU249" s="296">
        <v>2919</v>
      </c>
      <c r="AV249" s="296">
        <f t="shared" si="69"/>
        <v>13732</v>
      </c>
      <c r="AW249" s="296"/>
      <c r="AX249" s="296"/>
      <c r="AY249" s="296"/>
      <c r="AZ249" s="296">
        <v>10813</v>
      </c>
      <c r="BA249" s="296">
        <v>2919</v>
      </c>
      <c r="BB249" s="296">
        <v>13732</v>
      </c>
      <c r="BC249" s="499">
        <f t="shared" si="73"/>
        <v>0</v>
      </c>
      <c r="BD249" s="499">
        <f t="shared" si="73"/>
        <v>0</v>
      </c>
      <c r="BE249" s="499">
        <f t="shared" si="73"/>
        <v>0</v>
      </c>
      <c r="BF249" s="296">
        <v>10813</v>
      </c>
      <c r="BG249" s="296">
        <v>2919</v>
      </c>
      <c r="BH249" s="296">
        <f t="shared" si="70"/>
        <v>13732</v>
      </c>
      <c r="BI249" s="723"/>
      <c r="BJ249" s="723"/>
      <c r="BK249" s="723"/>
      <c r="BL249" s="723"/>
      <c r="BM249" s="723"/>
      <c r="BN249" s="723"/>
      <c r="BO249" s="723"/>
      <c r="BP249" s="725"/>
      <c r="BQ249" s="723"/>
      <c r="BR249" s="723"/>
      <c r="BS249" s="723"/>
      <c r="BT249" s="723"/>
      <c r="BU249" s="723"/>
      <c r="BV249" s="723"/>
      <c r="BW249" s="723"/>
      <c r="BX249" s="723"/>
      <c r="BY249" s="725"/>
      <c r="BZ249" s="723"/>
      <c r="CA249" s="723"/>
      <c r="CB249" s="516">
        <v>10812600</v>
      </c>
      <c r="CC249" s="297">
        <v>13732</v>
      </c>
      <c r="CD249" s="723"/>
    </row>
    <row r="250" spans="1:82" x14ac:dyDescent="0.2">
      <c r="A250" s="703"/>
      <c r="B250" s="292" t="s">
        <v>1381</v>
      </c>
      <c r="C250" s="293" t="s">
        <v>871</v>
      </c>
      <c r="D250" s="314" t="s">
        <v>729</v>
      </c>
      <c r="E250" s="512" t="s">
        <v>766</v>
      </c>
      <c r="F250" s="294" t="s">
        <v>872</v>
      </c>
      <c r="G250" s="296"/>
      <c r="H250" s="296"/>
      <c r="I250" s="296"/>
      <c r="J250" s="296"/>
      <c r="K250" s="296"/>
      <c r="L250" s="296"/>
      <c r="M250" s="296"/>
      <c r="N250" s="296"/>
      <c r="O250" s="296"/>
      <c r="P250" s="296"/>
      <c r="Q250" s="296"/>
      <c r="R250" s="296"/>
      <c r="S250" s="296"/>
      <c r="T250" s="296"/>
      <c r="U250" s="296"/>
      <c r="V250" s="296"/>
      <c r="W250" s="296"/>
      <c r="X250" s="296"/>
      <c r="Y250" s="296"/>
      <c r="Z250" s="296"/>
      <c r="AA250" s="296"/>
      <c r="AB250" s="296"/>
      <c r="AC250" s="296"/>
      <c r="AD250" s="296"/>
      <c r="AE250" s="296"/>
      <c r="AF250" s="296"/>
      <c r="AG250" s="296"/>
      <c r="AH250" s="299"/>
      <c r="AI250" s="296"/>
      <c r="AJ250" s="299"/>
      <c r="AK250" s="299">
        <f t="shared" ref="AK250:AK301" si="76">AN250-AH250</f>
        <v>2538</v>
      </c>
      <c r="AL250" s="299">
        <f t="shared" si="71"/>
        <v>685</v>
      </c>
      <c r="AM250" s="299">
        <f t="shared" si="71"/>
        <v>3223</v>
      </c>
      <c r="AN250" s="299">
        <v>2538</v>
      </c>
      <c r="AO250" s="299">
        <v>685</v>
      </c>
      <c r="AP250" s="299">
        <f t="shared" si="68"/>
        <v>3223</v>
      </c>
      <c r="AQ250" s="296">
        <f t="shared" si="75"/>
        <v>0</v>
      </c>
      <c r="AR250" s="296">
        <f t="shared" si="72"/>
        <v>0</v>
      </c>
      <c r="AS250" s="296">
        <f t="shared" si="72"/>
        <v>0</v>
      </c>
      <c r="AT250" s="296">
        <v>2538</v>
      </c>
      <c r="AU250" s="296">
        <v>685</v>
      </c>
      <c r="AV250" s="296">
        <f t="shared" si="69"/>
        <v>3223</v>
      </c>
      <c r="AW250" s="296"/>
      <c r="AX250" s="296"/>
      <c r="AY250" s="296"/>
      <c r="AZ250" s="296">
        <v>2538</v>
      </c>
      <c r="BA250" s="296">
        <v>685</v>
      </c>
      <c r="BB250" s="296">
        <v>3223</v>
      </c>
      <c r="BC250" s="499">
        <f t="shared" si="73"/>
        <v>0</v>
      </c>
      <c r="BD250" s="499">
        <f t="shared" si="73"/>
        <v>-685</v>
      </c>
      <c r="BE250" s="499">
        <f t="shared" si="73"/>
        <v>-685</v>
      </c>
      <c r="BF250" s="296">
        <v>2538</v>
      </c>
      <c r="BG250" s="296">
        <v>0</v>
      </c>
      <c r="BH250" s="296">
        <f t="shared" si="70"/>
        <v>2538</v>
      </c>
      <c r="BI250" s="723"/>
      <c r="BJ250" s="723"/>
      <c r="BK250" s="723"/>
      <c r="BL250" s="723"/>
      <c r="BM250" s="723"/>
      <c r="BN250" s="723"/>
      <c r="BO250" s="723"/>
      <c r="BP250" s="725"/>
      <c r="BQ250" s="723"/>
      <c r="BR250" s="723"/>
      <c r="BS250" s="723"/>
      <c r="BT250" s="723"/>
      <c r="BU250" s="723"/>
      <c r="BV250" s="723"/>
      <c r="BW250" s="723"/>
      <c r="BX250" s="723"/>
      <c r="BY250" s="725"/>
      <c r="BZ250" s="723"/>
      <c r="CA250" s="723"/>
      <c r="CB250" s="516">
        <v>2537769</v>
      </c>
      <c r="CC250" s="297">
        <v>2538</v>
      </c>
      <c r="CD250" s="723"/>
    </row>
    <row r="251" spans="1:82" ht="22.5" x14ac:dyDescent="0.2">
      <c r="A251" s="703"/>
      <c r="B251" s="292" t="s">
        <v>1381</v>
      </c>
      <c r="C251" s="293" t="s">
        <v>873</v>
      </c>
      <c r="D251" s="314" t="s">
        <v>729</v>
      </c>
      <c r="E251" s="512" t="s">
        <v>766</v>
      </c>
      <c r="F251" s="294" t="s">
        <v>874</v>
      </c>
      <c r="G251" s="294"/>
      <c r="H251" s="294"/>
      <c r="I251" s="332"/>
      <c r="J251" s="332"/>
      <c r="K251" s="332"/>
      <c r="L251" s="296"/>
      <c r="M251" s="296"/>
      <c r="N251" s="296"/>
      <c r="O251" s="296"/>
      <c r="P251" s="296"/>
      <c r="Q251" s="296"/>
      <c r="R251" s="296"/>
      <c r="S251" s="296"/>
      <c r="T251" s="296"/>
      <c r="U251" s="296"/>
      <c r="V251" s="296"/>
      <c r="W251" s="296"/>
      <c r="X251" s="296"/>
      <c r="Y251" s="296"/>
      <c r="Z251" s="296"/>
      <c r="AA251" s="296"/>
      <c r="AB251" s="296"/>
      <c r="AC251" s="296"/>
      <c r="AD251" s="296"/>
      <c r="AE251" s="296"/>
      <c r="AF251" s="296"/>
      <c r="AG251" s="296"/>
      <c r="AH251" s="299"/>
      <c r="AI251" s="296"/>
      <c r="AJ251" s="299"/>
      <c r="AK251" s="299">
        <f t="shared" si="76"/>
        <v>8863</v>
      </c>
      <c r="AL251" s="299">
        <f t="shared" si="71"/>
        <v>2393</v>
      </c>
      <c r="AM251" s="299">
        <f t="shared" si="71"/>
        <v>11256</v>
      </c>
      <c r="AN251" s="299">
        <v>8863</v>
      </c>
      <c r="AO251" s="299">
        <v>2393</v>
      </c>
      <c r="AP251" s="299">
        <f t="shared" si="68"/>
        <v>11256</v>
      </c>
      <c r="AQ251" s="296">
        <f t="shared" si="75"/>
        <v>0</v>
      </c>
      <c r="AR251" s="296">
        <f t="shared" si="72"/>
        <v>0</v>
      </c>
      <c r="AS251" s="296">
        <f t="shared" si="72"/>
        <v>0</v>
      </c>
      <c r="AT251" s="296">
        <v>8863</v>
      </c>
      <c r="AU251" s="296">
        <v>2393</v>
      </c>
      <c r="AV251" s="296">
        <f t="shared" si="69"/>
        <v>11256</v>
      </c>
      <c r="AW251" s="296"/>
      <c r="AX251" s="296"/>
      <c r="AY251" s="296"/>
      <c r="AZ251" s="296">
        <v>8863</v>
      </c>
      <c r="BA251" s="296">
        <v>2393</v>
      </c>
      <c r="BB251" s="296">
        <v>11256</v>
      </c>
      <c r="BC251" s="499">
        <f t="shared" si="73"/>
        <v>0</v>
      </c>
      <c r="BD251" s="499">
        <f t="shared" si="73"/>
        <v>-2393</v>
      </c>
      <c r="BE251" s="499">
        <f t="shared" si="73"/>
        <v>-2393</v>
      </c>
      <c r="BF251" s="296">
        <v>8863</v>
      </c>
      <c r="BG251" s="296">
        <v>0</v>
      </c>
      <c r="BH251" s="296">
        <f t="shared" si="70"/>
        <v>8863</v>
      </c>
      <c r="BI251" s="723"/>
      <c r="BJ251" s="723"/>
      <c r="BK251" s="723"/>
      <c r="BL251" s="723"/>
      <c r="BM251" s="723"/>
      <c r="BN251" s="723"/>
      <c r="BO251" s="723"/>
      <c r="BP251" s="725"/>
      <c r="BQ251" s="723"/>
      <c r="BR251" s="723"/>
      <c r="BS251" s="723"/>
      <c r="BT251" s="723"/>
      <c r="BU251" s="723"/>
      <c r="BV251" s="723"/>
      <c r="BW251" s="723"/>
      <c r="BX251" s="723"/>
      <c r="BY251" s="725"/>
      <c r="BZ251" s="723"/>
      <c r="CA251" s="723"/>
      <c r="CB251" s="516">
        <v>8862818</v>
      </c>
      <c r="CC251" s="297">
        <v>8863</v>
      </c>
      <c r="CD251" s="723"/>
    </row>
    <row r="252" spans="1:82" ht="22.5" x14ac:dyDescent="0.2">
      <c r="A252" s="703"/>
      <c r="B252" s="292" t="s">
        <v>1381</v>
      </c>
      <c r="C252" s="293" t="s">
        <v>875</v>
      </c>
      <c r="D252" s="314" t="s">
        <v>729</v>
      </c>
      <c r="E252" s="512" t="s">
        <v>766</v>
      </c>
      <c r="F252" s="294" t="s">
        <v>876</v>
      </c>
      <c r="G252" s="294"/>
      <c r="H252" s="294"/>
      <c r="I252" s="332"/>
      <c r="J252" s="332"/>
      <c r="K252" s="332"/>
      <c r="L252" s="296"/>
      <c r="M252" s="296"/>
      <c r="N252" s="296"/>
      <c r="O252" s="296"/>
      <c r="P252" s="296"/>
      <c r="Q252" s="296"/>
      <c r="R252" s="296"/>
      <c r="S252" s="296"/>
      <c r="T252" s="296"/>
      <c r="U252" s="296"/>
      <c r="V252" s="296"/>
      <c r="W252" s="296"/>
      <c r="X252" s="296"/>
      <c r="Y252" s="296"/>
      <c r="Z252" s="296"/>
      <c r="AA252" s="296"/>
      <c r="AB252" s="296"/>
      <c r="AC252" s="296"/>
      <c r="AD252" s="296"/>
      <c r="AE252" s="296"/>
      <c r="AF252" s="296"/>
      <c r="AG252" s="296"/>
      <c r="AH252" s="299"/>
      <c r="AI252" s="296"/>
      <c r="AJ252" s="299"/>
      <c r="AK252" s="299">
        <f t="shared" si="76"/>
        <v>6767</v>
      </c>
      <c r="AL252" s="299">
        <f t="shared" si="71"/>
        <v>1827</v>
      </c>
      <c r="AM252" s="299">
        <f t="shared" si="71"/>
        <v>8594</v>
      </c>
      <c r="AN252" s="299">
        <v>6767</v>
      </c>
      <c r="AO252" s="299">
        <v>1827</v>
      </c>
      <c r="AP252" s="299">
        <f t="shared" si="68"/>
        <v>8594</v>
      </c>
      <c r="AQ252" s="296">
        <f t="shared" si="75"/>
        <v>0</v>
      </c>
      <c r="AR252" s="296">
        <f t="shared" si="72"/>
        <v>0</v>
      </c>
      <c r="AS252" s="296">
        <f t="shared" si="72"/>
        <v>0</v>
      </c>
      <c r="AT252" s="296">
        <v>6767</v>
      </c>
      <c r="AU252" s="296">
        <v>1827</v>
      </c>
      <c r="AV252" s="296">
        <f t="shared" si="69"/>
        <v>8594</v>
      </c>
      <c r="AW252" s="296"/>
      <c r="AX252" s="296"/>
      <c r="AY252" s="296"/>
      <c r="AZ252" s="296">
        <v>6767</v>
      </c>
      <c r="BA252" s="296">
        <v>1827</v>
      </c>
      <c r="BB252" s="296">
        <v>8594</v>
      </c>
      <c r="BC252" s="499">
        <f t="shared" si="73"/>
        <v>0</v>
      </c>
      <c r="BD252" s="499">
        <f t="shared" si="73"/>
        <v>-1827</v>
      </c>
      <c r="BE252" s="499">
        <f t="shared" si="73"/>
        <v>-1827</v>
      </c>
      <c r="BF252" s="296">
        <v>6767</v>
      </c>
      <c r="BG252" s="296">
        <v>0</v>
      </c>
      <c r="BH252" s="296">
        <f t="shared" si="70"/>
        <v>6767</v>
      </c>
      <c r="BI252" s="723"/>
      <c r="BJ252" s="723"/>
      <c r="BK252" s="723"/>
      <c r="BL252" s="723"/>
      <c r="BM252" s="723"/>
      <c r="BN252" s="723"/>
      <c r="BO252" s="723"/>
      <c r="BP252" s="725"/>
      <c r="BQ252" s="723"/>
      <c r="BR252" s="723"/>
      <c r="BS252" s="723"/>
      <c r="BT252" s="723"/>
      <c r="BU252" s="723"/>
      <c r="BV252" s="723"/>
      <c r="BW252" s="723"/>
      <c r="BX252" s="723"/>
      <c r="BY252" s="725"/>
      <c r="BZ252" s="723"/>
      <c r="CA252" s="723"/>
      <c r="CB252" s="516">
        <v>6767384</v>
      </c>
      <c r="CC252" s="297">
        <v>6767</v>
      </c>
      <c r="CD252" s="723"/>
    </row>
    <row r="253" spans="1:82" x14ac:dyDescent="0.2">
      <c r="A253" s="703"/>
      <c r="B253" s="292" t="s">
        <v>1381</v>
      </c>
      <c r="C253" s="293" t="s">
        <v>877</v>
      </c>
      <c r="D253" s="314" t="s">
        <v>729</v>
      </c>
      <c r="E253" s="512" t="s">
        <v>766</v>
      </c>
      <c r="F253" s="294" t="s">
        <v>878</v>
      </c>
      <c r="G253" s="294"/>
      <c r="H253" s="294"/>
      <c r="I253" s="332"/>
      <c r="J253" s="332"/>
      <c r="K253" s="332"/>
      <c r="L253" s="296"/>
      <c r="M253" s="296"/>
      <c r="N253" s="296"/>
      <c r="O253" s="296"/>
      <c r="P253" s="296"/>
      <c r="Q253" s="296"/>
      <c r="R253" s="296"/>
      <c r="S253" s="296"/>
      <c r="T253" s="296"/>
      <c r="U253" s="296"/>
      <c r="V253" s="296"/>
      <c r="W253" s="296"/>
      <c r="X253" s="296"/>
      <c r="Y253" s="296"/>
      <c r="Z253" s="296"/>
      <c r="AA253" s="296"/>
      <c r="AB253" s="296"/>
      <c r="AC253" s="296"/>
      <c r="AD253" s="296"/>
      <c r="AE253" s="296"/>
      <c r="AF253" s="296"/>
      <c r="AG253" s="296"/>
      <c r="AH253" s="299"/>
      <c r="AI253" s="296"/>
      <c r="AJ253" s="299"/>
      <c r="AK253" s="299">
        <f t="shared" si="76"/>
        <v>3411</v>
      </c>
      <c r="AL253" s="299">
        <f t="shared" si="71"/>
        <v>920</v>
      </c>
      <c r="AM253" s="299">
        <f t="shared" si="71"/>
        <v>4331</v>
      </c>
      <c r="AN253" s="299">
        <v>3411</v>
      </c>
      <c r="AO253" s="299">
        <v>920</v>
      </c>
      <c r="AP253" s="299">
        <f t="shared" si="68"/>
        <v>4331</v>
      </c>
      <c r="AQ253" s="296">
        <f t="shared" si="75"/>
        <v>0</v>
      </c>
      <c r="AR253" s="296">
        <f t="shared" si="72"/>
        <v>0</v>
      </c>
      <c r="AS253" s="296">
        <f t="shared" si="72"/>
        <v>0</v>
      </c>
      <c r="AT253" s="296">
        <v>3411</v>
      </c>
      <c r="AU253" s="296">
        <v>920</v>
      </c>
      <c r="AV253" s="296">
        <f t="shared" si="69"/>
        <v>4331</v>
      </c>
      <c r="AW253" s="296"/>
      <c r="AX253" s="296"/>
      <c r="AY253" s="296"/>
      <c r="AZ253" s="296">
        <v>3411</v>
      </c>
      <c r="BA253" s="296">
        <v>920</v>
      </c>
      <c r="BB253" s="296">
        <v>4331</v>
      </c>
      <c r="BC253" s="499">
        <f t="shared" si="73"/>
        <v>0</v>
      </c>
      <c r="BD253" s="499">
        <f t="shared" si="73"/>
        <v>-920</v>
      </c>
      <c r="BE253" s="499">
        <f t="shared" si="73"/>
        <v>-920</v>
      </c>
      <c r="BF253" s="296">
        <v>3411</v>
      </c>
      <c r="BG253" s="296">
        <v>0</v>
      </c>
      <c r="BH253" s="296">
        <f t="shared" si="70"/>
        <v>3411</v>
      </c>
      <c r="BI253" s="723"/>
      <c r="BJ253" s="723"/>
      <c r="BK253" s="723"/>
      <c r="BL253" s="723"/>
      <c r="BM253" s="723"/>
      <c r="BN253" s="723"/>
      <c r="BO253" s="723"/>
      <c r="BP253" s="725"/>
      <c r="BQ253" s="723"/>
      <c r="BR253" s="723"/>
      <c r="BS253" s="723"/>
      <c r="BT253" s="723"/>
      <c r="BU253" s="723"/>
      <c r="BV253" s="723"/>
      <c r="BW253" s="723"/>
      <c r="BX253" s="723"/>
      <c r="BY253" s="725"/>
      <c r="BZ253" s="723"/>
      <c r="CA253" s="723"/>
      <c r="CB253" s="516">
        <v>3410619</v>
      </c>
      <c r="CC253" s="297">
        <v>3411</v>
      </c>
      <c r="CD253" s="723"/>
    </row>
    <row r="254" spans="1:82" x14ac:dyDescent="0.2">
      <c r="A254" s="703"/>
      <c r="B254" s="292" t="s">
        <v>1381</v>
      </c>
      <c r="C254" s="293" t="s">
        <v>879</v>
      </c>
      <c r="D254" s="314" t="s">
        <v>729</v>
      </c>
      <c r="E254" s="512" t="s">
        <v>766</v>
      </c>
      <c r="F254" s="294" t="s">
        <v>880</v>
      </c>
      <c r="G254" s="294"/>
      <c r="H254" s="294"/>
      <c r="I254" s="332"/>
      <c r="J254" s="332"/>
      <c r="K254" s="332"/>
      <c r="L254" s="296"/>
      <c r="M254" s="296"/>
      <c r="N254" s="296"/>
      <c r="O254" s="296"/>
      <c r="P254" s="296"/>
      <c r="Q254" s="296"/>
      <c r="R254" s="296"/>
      <c r="S254" s="296"/>
      <c r="T254" s="296"/>
      <c r="U254" s="296"/>
      <c r="V254" s="296"/>
      <c r="W254" s="296"/>
      <c r="X254" s="296"/>
      <c r="Y254" s="296"/>
      <c r="Z254" s="296"/>
      <c r="AA254" s="296"/>
      <c r="AB254" s="296"/>
      <c r="AC254" s="296"/>
      <c r="AD254" s="296"/>
      <c r="AE254" s="296"/>
      <c r="AF254" s="296"/>
      <c r="AG254" s="296"/>
      <c r="AH254" s="299"/>
      <c r="AI254" s="296"/>
      <c r="AJ254" s="299"/>
      <c r="AK254" s="299">
        <f t="shared" si="76"/>
        <v>4489</v>
      </c>
      <c r="AL254" s="299">
        <f t="shared" si="71"/>
        <v>1212</v>
      </c>
      <c r="AM254" s="299">
        <f t="shared" si="71"/>
        <v>5701</v>
      </c>
      <c r="AN254" s="299">
        <v>4489</v>
      </c>
      <c r="AO254" s="299">
        <v>1212</v>
      </c>
      <c r="AP254" s="299">
        <f t="shared" si="68"/>
        <v>5701</v>
      </c>
      <c r="AQ254" s="296">
        <f t="shared" si="75"/>
        <v>0</v>
      </c>
      <c r="AR254" s="296">
        <f t="shared" si="72"/>
        <v>0</v>
      </c>
      <c r="AS254" s="296">
        <f t="shared" si="72"/>
        <v>0</v>
      </c>
      <c r="AT254" s="296">
        <v>4489</v>
      </c>
      <c r="AU254" s="296">
        <v>1212</v>
      </c>
      <c r="AV254" s="296">
        <f t="shared" si="69"/>
        <v>5701</v>
      </c>
      <c r="AW254" s="296"/>
      <c r="AX254" s="296"/>
      <c r="AY254" s="296"/>
      <c r="AZ254" s="296">
        <v>4489</v>
      </c>
      <c r="BA254" s="296">
        <v>1212</v>
      </c>
      <c r="BB254" s="296">
        <v>5701</v>
      </c>
      <c r="BC254" s="499">
        <f t="shared" si="73"/>
        <v>0</v>
      </c>
      <c r="BD254" s="499">
        <f t="shared" si="73"/>
        <v>-1212</v>
      </c>
      <c r="BE254" s="499">
        <f t="shared" si="73"/>
        <v>-1212</v>
      </c>
      <c r="BF254" s="296">
        <v>4489</v>
      </c>
      <c r="BG254" s="296">
        <v>0</v>
      </c>
      <c r="BH254" s="296">
        <f t="shared" si="70"/>
        <v>4489</v>
      </c>
      <c r="BI254" s="723"/>
      <c r="BJ254" s="723"/>
      <c r="BK254" s="723"/>
      <c r="BL254" s="723"/>
      <c r="BM254" s="723"/>
      <c r="BN254" s="723"/>
      <c r="BO254" s="723"/>
      <c r="BP254" s="725"/>
      <c r="BQ254" s="723"/>
      <c r="BR254" s="723"/>
      <c r="BS254" s="723"/>
      <c r="BT254" s="723"/>
      <c r="BU254" s="723"/>
      <c r="BV254" s="723"/>
      <c r="BW254" s="723"/>
      <c r="BX254" s="723"/>
      <c r="BY254" s="725"/>
      <c r="BZ254" s="723"/>
      <c r="CA254" s="723"/>
      <c r="CB254" s="516">
        <v>4488988</v>
      </c>
      <c r="CC254" s="297">
        <v>4489</v>
      </c>
      <c r="CD254" s="723"/>
    </row>
    <row r="255" spans="1:82" ht="22.5" x14ac:dyDescent="0.2">
      <c r="A255" s="703"/>
      <c r="B255" s="292" t="s">
        <v>1381</v>
      </c>
      <c r="C255" s="293" t="s">
        <v>881</v>
      </c>
      <c r="D255" s="314"/>
      <c r="E255" s="512" t="s">
        <v>766</v>
      </c>
      <c r="F255" s="294" t="s">
        <v>882</v>
      </c>
      <c r="G255" s="294"/>
      <c r="H255" s="294"/>
      <c r="I255" s="332"/>
      <c r="J255" s="332"/>
      <c r="K255" s="332"/>
      <c r="L255" s="296"/>
      <c r="M255" s="296"/>
      <c r="N255" s="296"/>
      <c r="O255" s="296"/>
      <c r="P255" s="296"/>
      <c r="Q255" s="296"/>
      <c r="R255" s="296"/>
      <c r="S255" s="296"/>
      <c r="T255" s="296"/>
      <c r="U255" s="296"/>
      <c r="V255" s="296"/>
      <c r="W255" s="296"/>
      <c r="X255" s="296"/>
      <c r="Y255" s="296"/>
      <c r="Z255" s="296"/>
      <c r="AA255" s="296"/>
      <c r="AB255" s="296"/>
      <c r="AC255" s="296"/>
      <c r="AD255" s="296"/>
      <c r="AE255" s="296"/>
      <c r="AF255" s="296"/>
      <c r="AG255" s="296"/>
      <c r="AH255" s="299"/>
      <c r="AI255" s="296"/>
      <c r="AJ255" s="299"/>
      <c r="AK255" s="299">
        <f t="shared" si="76"/>
        <v>237</v>
      </c>
      <c r="AL255" s="299">
        <f t="shared" si="71"/>
        <v>64</v>
      </c>
      <c r="AM255" s="299">
        <f t="shared" si="71"/>
        <v>301</v>
      </c>
      <c r="AN255" s="299">
        <v>237</v>
      </c>
      <c r="AO255" s="299">
        <v>64</v>
      </c>
      <c r="AP255" s="299">
        <f t="shared" si="68"/>
        <v>301</v>
      </c>
      <c r="AQ255" s="296">
        <f t="shared" si="75"/>
        <v>0</v>
      </c>
      <c r="AR255" s="296">
        <f t="shared" si="72"/>
        <v>0</v>
      </c>
      <c r="AS255" s="296">
        <f t="shared" si="72"/>
        <v>0</v>
      </c>
      <c r="AT255" s="296">
        <v>237</v>
      </c>
      <c r="AU255" s="296">
        <v>64</v>
      </c>
      <c r="AV255" s="296">
        <f t="shared" si="69"/>
        <v>301</v>
      </c>
      <c r="AW255" s="296"/>
      <c r="AX255" s="296"/>
      <c r="AY255" s="296"/>
      <c r="AZ255" s="296">
        <v>237</v>
      </c>
      <c r="BA255" s="296">
        <v>64</v>
      </c>
      <c r="BB255" s="296">
        <v>301</v>
      </c>
      <c r="BC255" s="499">
        <f t="shared" si="73"/>
        <v>0</v>
      </c>
      <c r="BD255" s="499">
        <f t="shared" si="73"/>
        <v>0</v>
      </c>
      <c r="BE255" s="499">
        <f t="shared" si="73"/>
        <v>0</v>
      </c>
      <c r="BF255" s="296">
        <v>237</v>
      </c>
      <c r="BG255" s="296">
        <v>64</v>
      </c>
      <c r="BH255" s="296">
        <f t="shared" si="70"/>
        <v>301</v>
      </c>
      <c r="BI255" s="723"/>
      <c r="BJ255" s="723"/>
      <c r="BK255" s="723"/>
      <c r="BL255" s="723"/>
      <c r="BM255" s="723"/>
      <c r="BN255" s="723"/>
      <c r="BO255" s="723"/>
      <c r="BP255" s="725"/>
      <c r="BQ255" s="723"/>
      <c r="BR255" s="723"/>
      <c r="BS255" s="723"/>
      <c r="BT255" s="723"/>
      <c r="BU255" s="723"/>
      <c r="BV255" s="723"/>
      <c r="BW255" s="723"/>
      <c r="BX255" s="723"/>
      <c r="BY255" s="725"/>
      <c r="BZ255" s="723"/>
      <c r="CA255" s="723"/>
      <c r="CB255" s="516">
        <v>237308</v>
      </c>
      <c r="CC255" s="297">
        <v>301</v>
      </c>
      <c r="CD255" s="723"/>
    </row>
    <row r="256" spans="1:82" x14ac:dyDescent="0.2">
      <c r="A256" s="703"/>
      <c r="B256" s="292" t="s">
        <v>1381</v>
      </c>
      <c r="C256" s="293" t="s">
        <v>883</v>
      </c>
      <c r="D256" s="314" t="s">
        <v>729</v>
      </c>
      <c r="E256" s="512" t="s">
        <v>766</v>
      </c>
      <c r="F256" s="294" t="s">
        <v>884</v>
      </c>
      <c r="G256" s="294"/>
      <c r="H256" s="294"/>
      <c r="I256" s="332"/>
      <c r="J256" s="332"/>
      <c r="K256" s="332"/>
      <c r="L256" s="296"/>
      <c r="M256" s="296"/>
      <c r="N256" s="296"/>
      <c r="O256" s="296"/>
      <c r="P256" s="296"/>
      <c r="Q256" s="296"/>
      <c r="R256" s="296"/>
      <c r="S256" s="296"/>
      <c r="T256" s="296"/>
      <c r="U256" s="296"/>
      <c r="V256" s="296"/>
      <c r="W256" s="296"/>
      <c r="X256" s="296"/>
      <c r="Y256" s="296"/>
      <c r="Z256" s="296"/>
      <c r="AA256" s="296"/>
      <c r="AB256" s="296"/>
      <c r="AC256" s="296"/>
      <c r="AD256" s="296"/>
      <c r="AE256" s="296"/>
      <c r="AF256" s="296"/>
      <c r="AG256" s="296"/>
      <c r="AH256" s="299"/>
      <c r="AI256" s="296"/>
      <c r="AJ256" s="299"/>
      <c r="AK256" s="299">
        <f t="shared" si="76"/>
        <v>3975</v>
      </c>
      <c r="AL256" s="299">
        <f t="shared" si="71"/>
        <v>1073</v>
      </c>
      <c r="AM256" s="299">
        <f t="shared" si="71"/>
        <v>5048</v>
      </c>
      <c r="AN256" s="299">
        <v>3975</v>
      </c>
      <c r="AO256" s="299">
        <v>1073</v>
      </c>
      <c r="AP256" s="299">
        <f t="shared" si="68"/>
        <v>5048</v>
      </c>
      <c r="AQ256" s="296">
        <f t="shared" si="75"/>
        <v>0</v>
      </c>
      <c r="AR256" s="296">
        <f t="shared" si="72"/>
        <v>0</v>
      </c>
      <c r="AS256" s="296">
        <f t="shared" si="72"/>
        <v>0</v>
      </c>
      <c r="AT256" s="296">
        <v>3975</v>
      </c>
      <c r="AU256" s="296">
        <v>1073</v>
      </c>
      <c r="AV256" s="296">
        <f t="shared" si="69"/>
        <v>5048</v>
      </c>
      <c r="AW256" s="296"/>
      <c r="AX256" s="296"/>
      <c r="AY256" s="296"/>
      <c r="AZ256" s="296">
        <v>3975</v>
      </c>
      <c r="BA256" s="296">
        <v>1073</v>
      </c>
      <c r="BB256" s="296">
        <v>5048</v>
      </c>
      <c r="BC256" s="499">
        <f t="shared" si="73"/>
        <v>0</v>
      </c>
      <c r="BD256" s="499">
        <f t="shared" si="73"/>
        <v>-1073</v>
      </c>
      <c r="BE256" s="499">
        <f t="shared" si="73"/>
        <v>-1073</v>
      </c>
      <c r="BF256" s="296">
        <v>3975</v>
      </c>
      <c r="BG256" s="296">
        <v>0</v>
      </c>
      <c r="BH256" s="296">
        <f t="shared" si="70"/>
        <v>3975</v>
      </c>
      <c r="BI256" s="723"/>
      <c r="BJ256" s="723"/>
      <c r="BK256" s="723"/>
      <c r="BL256" s="723"/>
      <c r="BM256" s="723"/>
      <c r="BN256" s="723"/>
      <c r="BO256" s="723"/>
      <c r="BP256" s="725"/>
      <c r="BQ256" s="723"/>
      <c r="BR256" s="723"/>
      <c r="BS256" s="723"/>
      <c r="BT256" s="723"/>
      <c r="BU256" s="723"/>
      <c r="BV256" s="723"/>
      <c r="BW256" s="723"/>
      <c r="BX256" s="723"/>
      <c r="BY256" s="725"/>
      <c r="BZ256" s="723"/>
      <c r="CA256" s="723"/>
      <c r="CB256" s="516">
        <v>3974942</v>
      </c>
      <c r="CC256" s="297">
        <v>3975</v>
      </c>
      <c r="CD256" s="723"/>
    </row>
    <row r="257" spans="1:82" x14ac:dyDescent="0.2">
      <c r="A257" s="703"/>
      <c r="B257" s="292" t="s">
        <v>1381</v>
      </c>
      <c r="C257" s="293" t="s">
        <v>885</v>
      </c>
      <c r="D257" s="314"/>
      <c r="E257" s="512" t="s">
        <v>766</v>
      </c>
      <c r="F257" s="294" t="s">
        <v>886</v>
      </c>
      <c r="G257" s="294"/>
      <c r="H257" s="294"/>
      <c r="I257" s="332"/>
      <c r="J257" s="332"/>
      <c r="K257" s="332"/>
      <c r="L257" s="296"/>
      <c r="M257" s="296"/>
      <c r="N257" s="296"/>
      <c r="O257" s="296"/>
      <c r="P257" s="296"/>
      <c r="Q257" s="296"/>
      <c r="R257" s="296"/>
      <c r="S257" s="296"/>
      <c r="T257" s="296"/>
      <c r="U257" s="296"/>
      <c r="V257" s="296"/>
      <c r="W257" s="296"/>
      <c r="X257" s="296"/>
      <c r="Y257" s="296"/>
      <c r="Z257" s="296"/>
      <c r="AA257" s="296"/>
      <c r="AB257" s="296"/>
      <c r="AC257" s="296"/>
      <c r="AD257" s="296"/>
      <c r="AE257" s="296"/>
      <c r="AF257" s="296"/>
      <c r="AG257" s="296"/>
      <c r="AH257" s="299"/>
      <c r="AI257" s="296"/>
      <c r="AJ257" s="299"/>
      <c r="AK257" s="299">
        <f t="shared" si="76"/>
        <v>325</v>
      </c>
      <c r="AL257" s="299">
        <f t="shared" si="71"/>
        <v>88</v>
      </c>
      <c r="AM257" s="299">
        <f t="shared" si="71"/>
        <v>413</v>
      </c>
      <c r="AN257" s="299">
        <v>325</v>
      </c>
      <c r="AO257" s="299">
        <v>88</v>
      </c>
      <c r="AP257" s="299">
        <f t="shared" si="68"/>
        <v>413</v>
      </c>
      <c r="AQ257" s="296">
        <f t="shared" si="75"/>
        <v>0</v>
      </c>
      <c r="AR257" s="296">
        <f t="shared" si="72"/>
        <v>0</v>
      </c>
      <c r="AS257" s="296">
        <f t="shared" si="72"/>
        <v>0</v>
      </c>
      <c r="AT257" s="296">
        <v>325</v>
      </c>
      <c r="AU257" s="296">
        <v>88</v>
      </c>
      <c r="AV257" s="296">
        <f t="shared" si="69"/>
        <v>413</v>
      </c>
      <c r="AW257" s="296"/>
      <c r="AX257" s="296"/>
      <c r="AY257" s="296"/>
      <c r="AZ257" s="296">
        <v>325</v>
      </c>
      <c r="BA257" s="296">
        <v>88</v>
      </c>
      <c r="BB257" s="296">
        <v>413</v>
      </c>
      <c r="BC257" s="499">
        <f t="shared" si="73"/>
        <v>0</v>
      </c>
      <c r="BD257" s="499">
        <f t="shared" si="73"/>
        <v>0</v>
      </c>
      <c r="BE257" s="499">
        <f t="shared" si="73"/>
        <v>0</v>
      </c>
      <c r="BF257" s="296">
        <v>325</v>
      </c>
      <c r="BG257" s="296">
        <v>88</v>
      </c>
      <c r="BH257" s="296">
        <f t="shared" si="70"/>
        <v>413</v>
      </c>
      <c r="BI257" s="723"/>
      <c r="BJ257" s="723"/>
      <c r="BK257" s="723"/>
      <c r="BL257" s="723"/>
      <c r="BM257" s="723"/>
      <c r="BN257" s="723"/>
      <c r="BO257" s="723"/>
      <c r="BP257" s="725"/>
      <c r="BQ257" s="723"/>
      <c r="BR257" s="723"/>
      <c r="BS257" s="723"/>
      <c r="BT257" s="723"/>
      <c r="BU257" s="723"/>
      <c r="BV257" s="723"/>
      <c r="BW257" s="723"/>
      <c r="BX257" s="723"/>
      <c r="BY257" s="725"/>
      <c r="BZ257" s="723"/>
      <c r="CA257" s="723"/>
      <c r="CB257" s="516">
        <v>325600</v>
      </c>
      <c r="CC257" s="297">
        <v>414</v>
      </c>
      <c r="CD257" s="723"/>
    </row>
    <row r="258" spans="1:82" x14ac:dyDescent="0.2">
      <c r="A258" s="703"/>
      <c r="B258" s="292" t="s">
        <v>1381</v>
      </c>
      <c r="C258" s="293" t="s">
        <v>889</v>
      </c>
      <c r="D258" s="314" t="s">
        <v>729</v>
      </c>
      <c r="E258" s="512" t="s">
        <v>766</v>
      </c>
      <c r="F258" s="310" t="s">
        <v>890</v>
      </c>
      <c r="G258" s="505"/>
      <c r="H258" s="505"/>
      <c r="I258" s="300"/>
      <c r="J258" s="300"/>
      <c r="K258" s="300"/>
      <c r="L258" s="300"/>
      <c r="M258" s="298"/>
      <c r="N258" s="298"/>
      <c r="O258" s="321"/>
      <c r="P258" s="298"/>
      <c r="Q258" s="298"/>
      <c r="R258" s="298"/>
      <c r="S258" s="298"/>
      <c r="T258" s="298"/>
      <c r="U258" s="298"/>
      <c r="V258" s="298"/>
      <c r="W258" s="298"/>
      <c r="X258" s="298"/>
      <c r="Y258" s="298"/>
      <c r="Z258" s="298"/>
      <c r="AA258" s="298"/>
      <c r="AB258" s="298"/>
      <c r="AC258" s="298"/>
      <c r="AD258" s="298"/>
      <c r="AE258" s="298"/>
      <c r="AF258" s="298"/>
      <c r="AG258" s="298"/>
      <c r="AH258" s="296"/>
      <c r="AI258" s="296"/>
      <c r="AJ258" s="296"/>
      <c r="AK258" s="499">
        <f t="shared" si="76"/>
        <v>6914</v>
      </c>
      <c r="AL258" s="499">
        <f t="shared" si="71"/>
        <v>1867</v>
      </c>
      <c r="AM258" s="499">
        <f t="shared" si="71"/>
        <v>8781</v>
      </c>
      <c r="AN258" s="499">
        <v>6914</v>
      </c>
      <c r="AO258" s="499">
        <v>1867</v>
      </c>
      <c r="AP258" s="499">
        <f t="shared" si="68"/>
        <v>8781</v>
      </c>
      <c r="AQ258" s="499">
        <f t="shared" si="75"/>
        <v>0</v>
      </c>
      <c r="AR258" s="499">
        <f t="shared" si="72"/>
        <v>0</v>
      </c>
      <c r="AS258" s="499">
        <f t="shared" si="72"/>
        <v>0</v>
      </c>
      <c r="AT258" s="499">
        <v>6914</v>
      </c>
      <c r="AU258" s="499">
        <v>1867</v>
      </c>
      <c r="AV258" s="499">
        <f t="shared" si="69"/>
        <v>8781</v>
      </c>
      <c r="AW258" s="499"/>
      <c r="AX258" s="499"/>
      <c r="AY258" s="499"/>
      <c r="AZ258" s="499">
        <v>6914</v>
      </c>
      <c r="BA258" s="499">
        <v>1867</v>
      </c>
      <c r="BB258" s="499">
        <v>8781</v>
      </c>
      <c r="BC258" s="499">
        <f t="shared" si="73"/>
        <v>-6914</v>
      </c>
      <c r="BD258" s="499">
        <f t="shared" si="73"/>
        <v>-1867</v>
      </c>
      <c r="BE258" s="499">
        <f t="shared" si="73"/>
        <v>-8781</v>
      </c>
      <c r="BF258" s="499">
        <v>0</v>
      </c>
      <c r="BG258" s="499">
        <v>0</v>
      </c>
      <c r="BH258" s="296">
        <f t="shared" si="70"/>
        <v>0</v>
      </c>
      <c r="BI258" s="723"/>
      <c r="BJ258" s="723"/>
      <c r="BK258" s="723"/>
      <c r="BL258" s="723"/>
      <c r="BM258" s="723"/>
      <c r="BN258" s="723"/>
      <c r="BO258" s="723"/>
      <c r="BP258" s="725"/>
      <c r="BQ258" s="723"/>
      <c r="BR258" s="723"/>
      <c r="BS258" s="723"/>
      <c r="BT258" s="723"/>
      <c r="BU258" s="723"/>
      <c r="BV258" s="723"/>
      <c r="BW258" s="723"/>
      <c r="BX258" s="723"/>
      <c r="BY258" s="725"/>
      <c r="BZ258" s="723"/>
      <c r="CA258" s="723"/>
      <c r="CB258" s="516"/>
      <c r="CC258" s="297">
        <v>0</v>
      </c>
      <c r="CD258" s="723"/>
    </row>
    <row r="259" spans="1:82" x14ac:dyDescent="0.2">
      <c r="A259" s="703"/>
      <c r="B259" s="292" t="s">
        <v>1381</v>
      </c>
      <c r="C259" s="293" t="s">
        <v>891</v>
      </c>
      <c r="D259" s="314" t="s">
        <v>729</v>
      </c>
      <c r="E259" s="512" t="s">
        <v>766</v>
      </c>
      <c r="F259" s="310" t="s">
        <v>892</v>
      </c>
      <c r="G259" s="505"/>
      <c r="H259" s="505"/>
      <c r="I259" s="300"/>
      <c r="J259" s="300"/>
      <c r="K259" s="300"/>
      <c r="L259" s="300"/>
      <c r="M259" s="298"/>
      <c r="N259" s="298"/>
      <c r="O259" s="321"/>
      <c r="P259" s="298"/>
      <c r="Q259" s="298"/>
      <c r="R259" s="298"/>
      <c r="S259" s="298"/>
      <c r="T259" s="298"/>
      <c r="U259" s="298"/>
      <c r="V259" s="298"/>
      <c r="W259" s="298"/>
      <c r="X259" s="298"/>
      <c r="Y259" s="298"/>
      <c r="Z259" s="298"/>
      <c r="AA259" s="298"/>
      <c r="AB259" s="298"/>
      <c r="AC259" s="298"/>
      <c r="AD259" s="298"/>
      <c r="AE259" s="298"/>
      <c r="AF259" s="298"/>
      <c r="AG259" s="298"/>
      <c r="AH259" s="296"/>
      <c r="AI259" s="296"/>
      <c r="AJ259" s="296"/>
      <c r="AK259" s="499">
        <f t="shared" si="76"/>
        <v>6914</v>
      </c>
      <c r="AL259" s="499">
        <f t="shared" si="71"/>
        <v>1867</v>
      </c>
      <c r="AM259" s="499">
        <f t="shared" si="71"/>
        <v>8781</v>
      </c>
      <c r="AN259" s="499">
        <v>6914</v>
      </c>
      <c r="AO259" s="499">
        <v>1867</v>
      </c>
      <c r="AP259" s="499">
        <f t="shared" si="68"/>
        <v>8781</v>
      </c>
      <c r="AQ259" s="499">
        <f t="shared" si="75"/>
        <v>0</v>
      </c>
      <c r="AR259" s="499">
        <f t="shared" si="72"/>
        <v>0</v>
      </c>
      <c r="AS259" s="499">
        <f t="shared" si="72"/>
        <v>0</v>
      </c>
      <c r="AT259" s="499">
        <v>6914</v>
      </c>
      <c r="AU259" s="499">
        <v>1867</v>
      </c>
      <c r="AV259" s="499">
        <f t="shared" si="69"/>
        <v>8781</v>
      </c>
      <c r="AW259" s="499"/>
      <c r="AX259" s="499"/>
      <c r="AY259" s="499"/>
      <c r="AZ259" s="499">
        <v>6914</v>
      </c>
      <c r="BA259" s="499">
        <v>1867</v>
      </c>
      <c r="BB259" s="499">
        <v>8781</v>
      </c>
      <c r="BC259" s="499">
        <f t="shared" si="73"/>
        <v>-6914</v>
      </c>
      <c r="BD259" s="499">
        <f t="shared" si="73"/>
        <v>-1867</v>
      </c>
      <c r="BE259" s="499">
        <f t="shared" si="73"/>
        <v>-8781</v>
      </c>
      <c r="BF259" s="499">
        <v>0</v>
      </c>
      <c r="BG259" s="499">
        <v>0</v>
      </c>
      <c r="BH259" s="296">
        <f t="shared" si="70"/>
        <v>0</v>
      </c>
      <c r="BI259" s="723"/>
      <c r="BJ259" s="723"/>
      <c r="BK259" s="723"/>
      <c r="BL259" s="723"/>
      <c r="BM259" s="723"/>
      <c r="BN259" s="723"/>
      <c r="BO259" s="723"/>
      <c r="BP259" s="725"/>
      <c r="BQ259" s="723"/>
      <c r="BR259" s="723"/>
      <c r="BS259" s="723"/>
      <c r="BT259" s="723"/>
      <c r="BU259" s="723"/>
      <c r="BV259" s="723"/>
      <c r="BW259" s="723"/>
      <c r="BX259" s="723"/>
      <c r="BY259" s="725"/>
      <c r="BZ259" s="723"/>
      <c r="CA259" s="723"/>
      <c r="CB259" s="516"/>
      <c r="CC259" s="297">
        <v>0</v>
      </c>
      <c r="CD259" s="723"/>
    </row>
    <row r="260" spans="1:82" x14ac:dyDescent="0.2">
      <c r="A260" s="703"/>
      <c r="B260" s="292" t="s">
        <v>1381</v>
      </c>
      <c r="C260" s="293" t="s">
        <v>893</v>
      </c>
      <c r="D260" s="314" t="s">
        <v>729</v>
      </c>
      <c r="E260" s="512" t="s">
        <v>766</v>
      </c>
      <c r="F260" s="310" t="s">
        <v>894</v>
      </c>
      <c r="G260" s="505"/>
      <c r="H260" s="505"/>
      <c r="I260" s="300"/>
      <c r="J260" s="300"/>
      <c r="K260" s="300"/>
      <c r="L260" s="300"/>
      <c r="M260" s="298"/>
      <c r="N260" s="298"/>
      <c r="O260" s="321"/>
      <c r="P260" s="298"/>
      <c r="Q260" s="298"/>
      <c r="R260" s="298"/>
      <c r="S260" s="298"/>
      <c r="T260" s="298"/>
      <c r="U260" s="298"/>
      <c r="V260" s="298"/>
      <c r="W260" s="298"/>
      <c r="X260" s="298"/>
      <c r="Y260" s="298"/>
      <c r="Z260" s="298"/>
      <c r="AA260" s="298"/>
      <c r="AB260" s="298"/>
      <c r="AC260" s="298"/>
      <c r="AD260" s="298"/>
      <c r="AE260" s="298"/>
      <c r="AF260" s="298"/>
      <c r="AG260" s="298"/>
      <c r="AH260" s="296"/>
      <c r="AI260" s="296"/>
      <c r="AJ260" s="296"/>
      <c r="AK260" s="499">
        <f t="shared" si="76"/>
        <v>5255</v>
      </c>
      <c r="AL260" s="499">
        <f t="shared" si="71"/>
        <v>1419</v>
      </c>
      <c r="AM260" s="499">
        <f t="shared" si="71"/>
        <v>6674</v>
      </c>
      <c r="AN260" s="499">
        <v>5255</v>
      </c>
      <c r="AO260" s="499">
        <v>1419</v>
      </c>
      <c r="AP260" s="499">
        <f t="shared" si="68"/>
        <v>6674</v>
      </c>
      <c r="AQ260" s="499">
        <f t="shared" si="75"/>
        <v>0</v>
      </c>
      <c r="AR260" s="499">
        <f t="shared" si="72"/>
        <v>0</v>
      </c>
      <c r="AS260" s="499">
        <f t="shared" si="72"/>
        <v>0</v>
      </c>
      <c r="AT260" s="499">
        <v>5255</v>
      </c>
      <c r="AU260" s="499">
        <v>1419</v>
      </c>
      <c r="AV260" s="499">
        <f t="shared" si="69"/>
        <v>6674</v>
      </c>
      <c r="AW260" s="499"/>
      <c r="AX260" s="499"/>
      <c r="AY260" s="499"/>
      <c r="AZ260" s="499">
        <v>5255</v>
      </c>
      <c r="BA260" s="499">
        <v>1419</v>
      </c>
      <c r="BB260" s="499">
        <v>6674</v>
      </c>
      <c r="BC260" s="499">
        <f t="shared" si="73"/>
        <v>0</v>
      </c>
      <c r="BD260" s="499">
        <f t="shared" si="73"/>
        <v>-1419</v>
      </c>
      <c r="BE260" s="499">
        <f t="shared" si="73"/>
        <v>-1419</v>
      </c>
      <c r="BF260" s="499">
        <v>5255</v>
      </c>
      <c r="BG260" s="499">
        <v>0</v>
      </c>
      <c r="BH260" s="296">
        <f t="shared" si="70"/>
        <v>5255</v>
      </c>
      <c r="BI260" s="723"/>
      <c r="BJ260" s="723"/>
      <c r="BK260" s="723"/>
      <c r="BL260" s="723"/>
      <c r="BM260" s="723"/>
      <c r="BN260" s="723"/>
      <c r="BO260" s="723"/>
      <c r="BP260" s="725"/>
      <c r="BQ260" s="723"/>
      <c r="BR260" s="723"/>
      <c r="BS260" s="723"/>
      <c r="BT260" s="723"/>
      <c r="BU260" s="723"/>
      <c r="BV260" s="723"/>
      <c r="BW260" s="723"/>
      <c r="BX260" s="723"/>
      <c r="BY260" s="725"/>
      <c r="BZ260" s="723"/>
      <c r="CA260" s="723"/>
      <c r="CB260" s="516">
        <v>5254400</v>
      </c>
      <c r="CC260" s="297">
        <v>5254</v>
      </c>
      <c r="CD260" s="723"/>
    </row>
    <row r="261" spans="1:82" x14ac:dyDescent="0.2">
      <c r="A261" s="703"/>
      <c r="B261" s="292" t="s">
        <v>1381</v>
      </c>
      <c r="C261" s="293" t="s">
        <v>895</v>
      </c>
      <c r="D261" s="314" t="s">
        <v>729</v>
      </c>
      <c r="E261" s="512" t="s">
        <v>766</v>
      </c>
      <c r="F261" s="310" t="s">
        <v>896</v>
      </c>
      <c r="G261" s="505"/>
      <c r="H261" s="505"/>
      <c r="I261" s="300"/>
      <c r="J261" s="300"/>
      <c r="K261" s="300"/>
      <c r="L261" s="300"/>
      <c r="M261" s="298"/>
      <c r="N261" s="298"/>
      <c r="O261" s="321"/>
      <c r="P261" s="298"/>
      <c r="Q261" s="298"/>
      <c r="R261" s="298"/>
      <c r="S261" s="298"/>
      <c r="T261" s="298"/>
      <c r="U261" s="298"/>
      <c r="V261" s="298"/>
      <c r="W261" s="298"/>
      <c r="X261" s="298"/>
      <c r="Y261" s="298"/>
      <c r="Z261" s="298"/>
      <c r="AA261" s="298"/>
      <c r="AB261" s="298"/>
      <c r="AC261" s="298"/>
      <c r="AD261" s="298"/>
      <c r="AE261" s="298"/>
      <c r="AF261" s="298"/>
      <c r="AG261" s="298"/>
      <c r="AH261" s="296"/>
      <c r="AI261" s="296"/>
      <c r="AJ261" s="296"/>
      <c r="AK261" s="499">
        <f t="shared" si="76"/>
        <v>5254</v>
      </c>
      <c r="AL261" s="499">
        <f t="shared" si="71"/>
        <v>1419</v>
      </c>
      <c r="AM261" s="499">
        <f t="shared" si="71"/>
        <v>6673</v>
      </c>
      <c r="AN261" s="499">
        <v>5254</v>
      </c>
      <c r="AO261" s="499">
        <v>1419</v>
      </c>
      <c r="AP261" s="499">
        <f t="shared" si="68"/>
        <v>6673</v>
      </c>
      <c r="AQ261" s="499">
        <f t="shared" si="75"/>
        <v>0</v>
      </c>
      <c r="AR261" s="499">
        <f t="shared" si="72"/>
        <v>0</v>
      </c>
      <c r="AS261" s="499">
        <f t="shared" si="72"/>
        <v>0</v>
      </c>
      <c r="AT261" s="499">
        <v>5254</v>
      </c>
      <c r="AU261" s="499">
        <v>1419</v>
      </c>
      <c r="AV261" s="499">
        <f t="shared" si="69"/>
        <v>6673</v>
      </c>
      <c r="AW261" s="499"/>
      <c r="AX261" s="499"/>
      <c r="AY261" s="499"/>
      <c r="AZ261" s="499">
        <v>5254</v>
      </c>
      <c r="BA261" s="499">
        <v>1419</v>
      </c>
      <c r="BB261" s="499">
        <v>6673</v>
      </c>
      <c r="BC261" s="499">
        <f t="shared" si="73"/>
        <v>-5254</v>
      </c>
      <c r="BD261" s="499">
        <f t="shared" si="73"/>
        <v>-1419</v>
      </c>
      <c r="BE261" s="499">
        <f t="shared" si="73"/>
        <v>-6673</v>
      </c>
      <c r="BF261" s="499">
        <v>0</v>
      </c>
      <c r="BG261" s="499">
        <v>0</v>
      </c>
      <c r="BH261" s="296">
        <f t="shared" si="70"/>
        <v>0</v>
      </c>
      <c r="BI261" s="723"/>
      <c r="BJ261" s="723"/>
      <c r="BK261" s="723"/>
      <c r="BL261" s="723"/>
      <c r="BM261" s="723"/>
      <c r="BN261" s="723"/>
      <c r="BO261" s="723"/>
      <c r="BP261" s="725"/>
      <c r="BQ261" s="723"/>
      <c r="BR261" s="723"/>
      <c r="BS261" s="723"/>
      <c r="BT261" s="723"/>
      <c r="BU261" s="723"/>
      <c r="BV261" s="723"/>
      <c r="BW261" s="723"/>
      <c r="BX261" s="723"/>
      <c r="BY261" s="725"/>
      <c r="BZ261" s="723"/>
      <c r="CA261" s="723"/>
      <c r="CB261" s="516"/>
      <c r="CC261" s="297">
        <v>0</v>
      </c>
      <c r="CD261" s="723"/>
    </row>
    <row r="262" spans="1:82" x14ac:dyDescent="0.2">
      <c r="A262" s="703"/>
      <c r="B262" s="292" t="s">
        <v>1381</v>
      </c>
      <c r="C262" s="293" t="s">
        <v>897</v>
      </c>
      <c r="D262" s="314" t="s">
        <v>729</v>
      </c>
      <c r="E262" s="512" t="s">
        <v>766</v>
      </c>
      <c r="F262" s="294" t="s">
        <v>898</v>
      </c>
      <c r="G262" s="294"/>
      <c r="H262" s="294"/>
      <c r="I262" s="332"/>
      <c r="J262" s="332"/>
      <c r="K262" s="332"/>
      <c r="L262" s="296"/>
      <c r="M262" s="296"/>
      <c r="N262" s="296"/>
      <c r="O262" s="321"/>
      <c r="P262" s="296"/>
      <c r="Q262" s="296"/>
      <c r="R262" s="296"/>
      <c r="S262" s="296"/>
      <c r="T262" s="296"/>
      <c r="U262" s="296"/>
      <c r="V262" s="296"/>
      <c r="W262" s="296"/>
      <c r="X262" s="296"/>
      <c r="Y262" s="296"/>
      <c r="Z262" s="296"/>
      <c r="AA262" s="296"/>
      <c r="AB262" s="296"/>
      <c r="AC262" s="296"/>
      <c r="AD262" s="296"/>
      <c r="AE262" s="296"/>
      <c r="AF262" s="296"/>
      <c r="AG262" s="296"/>
      <c r="AH262" s="299"/>
      <c r="AI262" s="296"/>
      <c r="AJ262" s="299"/>
      <c r="AK262" s="499">
        <f t="shared" si="76"/>
        <v>4786</v>
      </c>
      <c r="AL262" s="499">
        <f t="shared" si="71"/>
        <v>1292</v>
      </c>
      <c r="AM262" s="499">
        <f t="shared" si="71"/>
        <v>6078</v>
      </c>
      <c r="AN262" s="499">
        <v>4786</v>
      </c>
      <c r="AO262" s="499">
        <v>1292</v>
      </c>
      <c r="AP262" s="499">
        <f t="shared" si="68"/>
        <v>6078</v>
      </c>
      <c r="AQ262" s="296">
        <f t="shared" si="75"/>
        <v>0</v>
      </c>
      <c r="AR262" s="296">
        <f t="shared" si="72"/>
        <v>0</v>
      </c>
      <c r="AS262" s="296">
        <f t="shared" si="72"/>
        <v>0</v>
      </c>
      <c r="AT262" s="296">
        <v>4786</v>
      </c>
      <c r="AU262" s="296">
        <v>1292</v>
      </c>
      <c r="AV262" s="296">
        <f t="shared" si="69"/>
        <v>6078</v>
      </c>
      <c r="AW262" s="296"/>
      <c r="AX262" s="296"/>
      <c r="AY262" s="296"/>
      <c r="AZ262" s="296">
        <v>4786</v>
      </c>
      <c r="BA262" s="296">
        <v>1292</v>
      </c>
      <c r="BB262" s="296">
        <v>6078</v>
      </c>
      <c r="BC262" s="499">
        <f t="shared" si="73"/>
        <v>0</v>
      </c>
      <c r="BD262" s="499">
        <f t="shared" si="73"/>
        <v>-1292</v>
      </c>
      <c r="BE262" s="499">
        <f t="shared" si="73"/>
        <v>-1292</v>
      </c>
      <c r="BF262" s="296">
        <v>4786</v>
      </c>
      <c r="BG262" s="296">
        <v>0</v>
      </c>
      <c r="BH262" s="296">
        <f t="shared" si="70"/>
        <v>4786</v>
      </c>
      <c r="BI262" s="723"/>
      <c r="BJ262" s="723"/>
      <c r="BK262" s="723"/>
      <c r="BL262" s="723"/>
      <c r="BM262" s="723"/>
      <c r="BN262" s="723"/>
      <c r="BO262" s="723"/>
      <c r="BP262" s="725"/>
      <c r="BQ262" s="723"/>
      <c r="BR262" s="723"/>
      <c r="BS262" s="723"/>
      <c r="BT262" s="723"/>
      <c r="BU262" s="723"/>
      <c r="BV262" s="723"/>
      <c r="BW262" s="723"/>
      <c r="BX262" s="723"/>
      <c r="BY262" s="725"/>
      <c r="BZ262" s="723"/>
      <c r="CA262" s="723"/>
      <c r="CB262" s="516">
        <v>4786300</v>
      </c>
      <c r="CC262" s="297">
        <v>4786</v>
      </c>
      <c r="CD262" s="723"/>
    </row>
    <row r="263" spans="1:82" x14ac:dyDescent="0.2">
      <c r="A263" s="703"/>
      <c r="B263" s="292" t="s">
        <v>1381</v>
      </c>
      <c r="C263" s="293" t="s">
        <v>1209</v>
      </c>
      <c r="D263" s="314" t="s">
        <v>729</v>
      </c>
      <c r="E263" s="512" t="s">
        <v>766</v>
      </c>
      <c r="F263" s="294" t="s">
        <v>1210</v>
      </c>
      <c r="G263" s="294"/>
      <c r="H263" s="294"/>
      <c r="I263" s="332"/>
      <c r="J263" s="332"/>
      <c r="K263" s="332"/>
      <c r="L263" s="296"/>
      <c r="M263" s="296"/>
      <c r="N263" s="296"/>
      <c r="O263" s="321"/>
      <c r="P263" s="296"/>
      <c r="Q263" s="296"/>
      <c r="R263" s="296"/>
      <c r="S263" s="296"/>
      <c r="T263" s="296"/>
      <c r="U263" s="296"/>
      <c r="V263" s="296"/>
      <c r="W263" s="296"/>
      <c r="X263" s="296"/>
      <c r="Y263" s="296"/>
      <c r="Z263" s="296"/>
      <c r="AA263" s="296"/>
      <c r="AB263" s="296"/>
      <c r="AC263" s="296"/>
      <c r="AD263" s="296"/>
      <c r="AE263" s="296"/>
      <c r="AF263" s="296"/>
      <c r="AG263" s="296"/>
      <c r="AH263" s="299"/>
      <c r="AI263" s="296"/>
      <c r="AJ263" s="299"/>
      <c r="AK263" s="499"/>
      <c r="AL263" s="499"/>
      <c r="AM263" s="499"/>
      <c r="AN263" s="499"/>
      <c r="AO263" s="499"/>
      <c r="AP263" s="499"/>
      <c r="AQ263" s="296">
        <f t="shared" si="75"/>
        <v>10718</v>
      </c>
      <c r="AR263" s="296">
        <f t="shared" si="72"/>
        <v>2894</v>
      </c>
      <c r="AS263" s="296">
        <f t="shared" si="72"/>
        <v>13612</v>
      </c>
      <c r="AT263" s="296">
        <v>10718</v>
      </c>
      <c r="AU263" s="296">
        <v>2894</v>
      </c>
      <c r="AV263" s="296">
        <f t="shared" si="69"/>
        <v>13612</v>
      </c>
      <c r="AW263" s="296"/>
      <c r="AX263" s="296"/>
      <c r="AY263" s="296"/>
      <c r="AZ263" s="296">
        <v>10718</v>
      </c>
      <c r="BA263" s="296">
        <v>2894</v>
      </c>
      <c r="BB263" s="296">
        <v>13612</v>
      </c>
      <c r="BC263" s="499">
        <f t="shared" ref="BC263:BE288" si="77">BF263-AT263</f>
        <v>0</v>
      </c>
      <c r="BD263" s="499">
        <f t="shared" si="77"/>
        <v>-2894</v>
      </c>
      <c r="BE263" s="499">
        <f t="shared" si="77"/>
        <v>-2894</v>
      </c>
      <c r="BF263" s="296">
        <v>10718</v>
      </c>
      <c r="BG263" s="296">
        <v>0</v>
      </c>
      <c r="BH263" s="296">
        <f t="shared" si="70"/>
        <v>10718</v>
      </c>
      <c r="BI263" s="723"/>
      <c r="BJ263" s="723"/>
      <c r="BK263" s="723"/>
      <c r="BL263" s="723"/>
      <c r="BM263" s="723"/>
      <c r="BN263" s="723"/>
      <c r="BO263" s="723"/>
      <c r="BP263" s="725"/>
      <c r="BQ263" s="723"/>
      <c r="BR263" s="723"/>
      <c r="BS263" s="723"/>
      <c r="BT263" s="723"/>
      <c r="BU263" s="723"/>
      <c r="BV263" s="723"/>
      <c r="BW263" s="723"/>
      <c r="BX263" s="723"/>
      <c r="BY263" s="725"/>
      <c r="BZ263" s="723"/>
      <c r="CA263" s="723"/>
      <c r="CB263" s="516">
        <v>10718013</v>
      </c>
      <c r="CC263" s="297">
        <v>10718</v>
      </c>
      <c r="CD263" s="723"/>
    </row>
    <row r="264" spans="1:82" x14ac:dyDescent="0.2">
      <c r="A264" s="703"/>
      <c r="B264" s="292" t="s">
        <v>1381</v>
      </c>
      <c r="C264" s="293" t="s">
        <v>1211</v>
      </c>
      <c r="D264" s="314" t="s">
        <v>729</v>
      </c>
      <c r="E264" s="512" t="s">
        <v>766</v>
      </c>
      <c r="F264" s="294" t="s">
        <v>1212</v>
      </c>
      <c r="G264" s="294"/>
      <c r="H264" s="294"/>
      <c r="I264" s="332"/>
      <c r="J264" s="332"/>
      <c r="K264" s="332"/>
      <c r="L264" s="296"/>
      <c r="M264" s="296"/>
      <c r="N264" s="296"/>
      <c r="O264" s="321"/>
      <c r="P264" s="296"/>
      <c r="Q264" s="296"/>
      <c r="R264" s="296"/>
      <c r="S264" s="296"/>
      <c r="T264" s="296"/>
      <c r="U264" s="296"/>
      <c r="V264" s="296"/>
      <c r="W264" s="296"/>
      <c r="X264" s="296"/>
      <c r="Y264" s="296"/>
      <c r="Z264" s="296"/>
      <c r="AA264" s="296"/>
      <c r="AB264" s="296"/>
      <c r="AC264" s="296"/>
      <c r="AD264" s="296"/>
      <c r="AE264" s="296"/>
      <c r="AF264" s="296"/>
      <c r="AG264" s="296"/>
      <c r="AH264" s="299"/>
      <c r="AI264" s="296"/>
      <c r="AJ264" s="299"/>
      <c r="AK264" s="499"/>
      <c r="AL264" s="499"/>
      <c r="AM264" s="499"/>
      <c r="AN264" s="499"/>
      <c r="AO264" s="499"/>
      <c r="AP264" s="499"/>
      <c r="AQ264" s="296">
        <f t="shared" si="75"/>
        <v>4200</v>
      </c>
      <c r="AR264" s="296">
        <f t="shared" si="72"/>
        <v>1134</v>
      </c>
      <c r="AS264" s="296">
        <f t="shared" si="72"/>
        <v>5334</v>
      </c>
      <c r="AT264" s="296">
        <v>4200</v>
      </c>
      <c r="AU264" s="296">
        <v>1134</v>
      </c>
      <c r="AV264" s="296">
        <f t="shared" si="69"/>
        <v>5334</v>
      </c>
      <c r="AW264" s="296"/>
      <c r="AX264" s="296"/>
      <c r="AY264" s="296"/>
      <c r="AZ264" s="296">
        <v>4200</v>
      </c>
      <c r="BA264" s="296">
        <v>1134</v>
      </c>
      <c r="BB264" s="296">
        <v>5334</v>
      </c>
      <c r="BC264" s="499">
        <f t="shared" si="77"/>
        <v>0</v>
      </c>
      <c r="BD264" s="499">
        <f t="shared" si="77"/>
        <v>-1134</v>
      </c>
      <c r="BE264" s="499">
        <f t="shared" si="77"/>
        <v>-1134</v>
      </c>
      <c r="BF264" s="296">
        <v>4200</v>
      </c>
      <c r="BG264" s="296">
        <v>0</v>
      </c>
      <c r="BH264" s="296">
        <f t="shared" si="70"/>
        <v>4200</v>
      </c>
      <c r="BI264" s="723"/>
      <c r="BJ264" s="723"/>
      <c r="BK264" s="723"/>
      <c r="BL264" s="723"/>
      <c r="BM264" s="723"/>
      <c r="BN264" s="723"/>
      <c r="BO264" s="723"/>
      <c r="BP264" s="725"/>
      <c r="BQ264" s="723"/>
      <c r="BR264" s="723"/>
      <c r="BS264" s="723"/>
      <c r="BT264" s="723"/>
      <c r="BU264" s="723"/>
      <c r="BV264" s="723"/>
      <c r="BW264" s="723"/>
      <c r="BX264" s="723"/>
      <c r="BY264" s="725"/>
      <c r="BZ264" s="723"/>
      <c r="CA264" s="723"/>
      <c r="CB264" s="516">
        <v>4200873</v>
      </c>
      <c r="CC264" s="297">
        <v>4201</v>
      </c>
      <c r="CD264" s="723"/>
    </row>
    <row r="265" spans="1:82" ht="22.5" x14ac:dyDescent="0.2">
      <c r="A265" s="703"/>
      <c r="B265" s="292" t="s">
        <v>1381</v>
      </c>
      <c r="C265" s="293" t="s">
        <v>1213</v>
      </c>
      <c r="D265" s="314" t="s">
        <v>729</v>
      </c>
      <c r="E265" s="512" t="s">
        <v>766</v>
      </c>
      <c r="F265" s="294" t="s">
        <v>1214</v>
      </c>
      <c r="G265" s="294"/>
      <c r="H265" s="294"/>
      <c r="I265" s="332"/>
      <c r="J265" s="332"/>
      <c r="K265" s="332"/>
      <c r="L265" s="296"/>
      <c r="M265" s="296"/>
      <c r="N265" s="296"/>
      <c r="O265" s="321"/>
      <c r="P265" s="296"/>
      <c r="Q265" s="296"/>
      <c r="R265" s="296"/>
      <c r="S265" s="296"/>
      <c r="T265" s="296"/>
      <c r="U265" s="296"/>
      <c r="V265" s="296"/>
      <c r="W265" s="296"/>
      <c r="X265" s="296"/>
      <c r="Y265" s="296"/>
      <c r="Z265" s="296"/>
      <c r="AA265" s="296"/>
      <c r="AB265" s="296"/>
      <c r="AC265" s="296"/>
      <c r="AD265" s="296"/>
      <c r="AE265" s="296"/>
      <c r="AF265" s="296"/>
      <c r="AG265" s="296"/>
      <c r="AH265" s="299"/>
      <c r="AI265" s="296"/>
      <c r="AJ265" s="299"/>
      <c r="AK265" s="499"/>
      <c r="AL265" s="499"/>
      <c r="AM265" s="499"/>
      <c r="AN265" s="499"/>
      <c r="AO265" s="499"/>
      <c r="AP265" s="499"/>
      <c r="AQ265" s="296">
        <f t="shared" si="75"/>
        <v>10086</v>
      </c>
      <c r="AR265" s="296">
        <f t="shared" si="72"/>
        <v>2723</v>
      </c>
      <c r="AS265" s="296">
        <f t="shared" si="72"/>
        <v>12809</v>
      </c>
      <c r="AT265" s="296">
        <v>10086</v>
      </c>
      <c r="AU265" s="296">
        <v>2723</v>
      </c>
      <c r="AV265" s="296">
        <f t="shared" si="69"/>
        <v>12809</v>
      </c>
      <c r="AW265" s="296"/>
      <c r="AX265" s="296"/>
      <c r="AY265" s="296"/>
      <c r="AZ265" s="296">
        <v>10086</v>
      </c>
      <c r="BA265" s="296">
        <v>2723</v>
      </c>
      <c r="BB265" s="296">
        <v>12809</v>
      </c>
      <c r="BC265" s="499">
        <f t="shared" si="77"/>
        <v>0</v>
      </c>
      <c r="BD265" s="499">
        <f t="shared" si="77"/>
        <v>-2723</v>
      </c>
      <c r="BE265" s="499">
        <f t="shared" si="77"/>
        <v>-2723</v>
      </c>
      <c r="BF265" s="296">
        <v>10086</v>
      </c>
      <c r="BG265" s="296">
        <v>0</v>
      </c>
      <c r="BH265" s="296">
        <f t="shared" si="70"/>
        <v>10086</v>
      </c>
      <c r="BI265" s="723"/>
      <c r="BJ265" s="723"/>
      <c r="BK265" s="723"/>
      <c r="BL265" s="723"/>
      <c r="BM265" s="723"/>
      <c r="BN265" s="723"/>
      <c r="BO265" s="723"/>
      <c r="BP265" s="725"/>
      <c r="BQ265" s="723"/>
      <c r="BR265" s="723"/>
      <c r="BS265" s="723"/>
      <c r="BT265" s="723"/>
      <c r="BU265" s="723"/>
      <c r="BV265" s="723"/>
      <c r="BW265" s="723"/>
      <c r="BX265" s="723"/>
      <c r="BY265" s="725"/>
      <c r="BZ265" s="723"/>
      <c r="CA265" s="723"/>
      <c r="CB265" s="516">
        <v>0</v>
      </c>
      <c r="CC265" s="297">
        <v>0</v>
      </c>
      <c r="CD265" s="723"/>
    </row>
    <row r="266" spans="1:82" ht="22.5" x14ac:dyDescent="0.2">
      <c r="A266" s="703"/>
      <c r="B266" s="292" t="s">
        <v>1381</v>
      </c>
      <c r="C266" s="293" t="s">
        <v>1215</v>
      </c>
      <c r="D266" s="314" t="s">
        <v>729</v>
      </c>
      <c r="E266" s="512" t="s">
        <v>766</v>
      </c>
      <c r="F266" s="294" t="s">
        <v>1216</v>
      </c>
      <c r="G266" s="294"/>
      <c r="H266" s="294"/>
      <c r="I266" s="332"/>
      <c r="J266" s="332"/>
      <c r="K266" s="332"/>
      <c r="L266" s="296"/>
      <c r="M266" s="296"/>
      <c r="N266" s="296"/>
      <c r="O266" s="321"/>
      <c r="P266" s="296"/>
      <c r="Q266" s="296"/>
      <c r="R266" s="296"/>
      <c r="S266" s="296"/>
      <c r="T266" s="296"/>
      <c r="U266" s="296"/>
      <c r="V266" s="296"/>
      <c r="W266" s="296"/>
      <c r="X266" s="296"/>
      <c r="Y266" s="296"/>
      <c r="Z266" s="296"/>
      <c r="AA266" s="296"/>
      <c r="AB266" s="296"/>
      <c r="AC266" s="296"/>
      <c r="AD266" s="296"/>
      <c r="AE266" s="296"/>
      <c r="AF266" s="296"/>
      <c r="AG266" s="296"/>
      <c r="AH266" s="299"/>
      <c r="AI266" s="296"/>
      <c r="AJ266" s="299"/>
      <c r="AK266" s="499"/>
      <c r="AL266" s="499"/>
      <c r="AM266" s="499"/>
      <c r="AN266" s="499"/>
      <c r="AO266" s="499"/>
      <c r="AP266" s="499"/>
      <c r="AQ266" s="296">
        <f t="shared" si="75"/>
        <v>6312</v>
      </c>
      <c r="AR266" s="296">
        <f t="shared" si="72"/>
        <v>1704</v>
      </c>
      <c r="AS266" s="296">
        <f t="shared" si="72"/>
        <v>8016</v>
      </c>
      <c r="AT266" s="296">
        <v>6312</v>
      </c>
      <c r="AU266" s="296">
        <v>1704</v>
      </c>
      <c r="AV266" s="296">
        <f t="shared" si="69"/>
        <v>8016</v>
      </c>
      <c r="AW266" s="296"/>
      <c r="AX266" s="296"/>
      <c r="AY266" s="296"/>
      <c r="AZ266" s="296">
        <v>6312</v>
      </c>
      <c r="BA266" s="296">
        <v>1704</v>
      </c>
      <c r="BB266" s="296">
        <v>8016</v>
      </c>
      <c r="BC266" s="499">
        <f t="shared" si="77"/>
        <v>0</v>
      </c>
      <c r="BD266" s="499">
        <f t="shared" si="77"/>
        <v>-1704</v>
      </c>
      <c r="BE266" s="499">
        <f t="shared" si="77"/>
        <v>-1704</v>
      </c>
      <c r="BF266" s="296">
        <v>6312</v>
      </c>
      <c r="BG266" s="296">
        <v>0</v>
      </c>
      <c r="BH266" s="296">
        <f t="shared" si="70"/>
        <v>6312</v>
      </c>
      <c r="BI266" s="723"/>
      <c r="BJ266" s="723"/>
      <c r="BK266" s="723"/>
      <c r="BL266" s="723"/>
      <c r="BM266" s="723"/>
      <c r="BN266" s="723"/>
      <c r="BO266" s="723"/>
      <c r="BP266" s="725"/>
      <c r="BQ266" s="723"/>
      <c r="BR266" s="723"/>
      <c r="BS266" s="723"/>
      <c r="BT266" s="723"/>
      <c r="BU266" s="723"/>
      <c r="BV266" s="723"/>
      <c r="BW266" s="723"/>
      <c r="BX266" s="723"/>
      <c r="BY266" s="725"/>
      <c r="BZ266" s="723"/>
      <c r="CA266" s="723"/>
      <c r="CB266" s="516">
        <v>0</v>
      </c>
      <c r="CC266" s="297">
        <v>0</v>
      </c>
      <c r="CD266" s="723"/>
    </row>
    <row r="267" spans="1:82" ht="22.5" x14ac:dyDescent="0.2">
      <c r="A267" s="703"/>
      <c r="B267" s="292" t="s">
        <v>1381</v>
      </c>
      <c r="C267" s="293" t="s">
        <v>1217</v>
      </c>
      <c r="D267" s="314" t="s">
        <v>729</v>
      </c>
      <c r="E267" s="512" t="s">
        <v>766</v>
      </c>
      <c r="F267" s="294" t="s">
        <v>1218</v>
      </c>
      <c r="G267" s="294"/>
      <c r="H267" s="294"/>
      <c r="I267" s="332"/>
      <c r="J267" s="332"/>
      <c r="K267" s="332"/>
      <c r="L267" s="296"/>
      <c r="M267" s="296"/>
      <c r="N267" s="296"/>
      <c r="O267" s="321"/>
      <c r="P267" s="296"/>
      <c r="Q267" s="296"/>
      <c r="R267" s="296"/>
      <c r="S267" s="296"/>
      <c r="T267" s="296"/>
      <c r="U267" s="296"/>
      <c r="V267" s="296"/>
      <c r="W267" s="296"/>
      <c r="X267" s="296"/>
      <c r="Y267" s="296"/>
      <c r="Z267" s="296"/>
      <c r="AA267" s="296"/>
      <c r="AB267" s="296"/>
      <c r="AC267" s="296"/>
      <c r="AD267" s="296"/>
      <c r="AE267" s="296"/>
      <c r="AF267" s="296"/>
      <c r="AG267" s="296"/>
      <c r="AH267" s="299"/>
      <c r="AI267" s="296"/>
      <c r="AJ267" s="299"/>
      <c r="AK267" s="499"/>
      <c r="AL267" s="499"/>
      <c r="AM267" s="499"/>
      <c r="AN267" s="499"/>
      <c r="AO267" s="499"/>
      <c r="AP267" s="499"/>
      <c r="AQ267" s="296">
        <f t="shared" si="75"/>
        <v>8329</v>
      </c>
      <c r="AR267" s="296">
        <f t="shared" si="72"/>
        <v>2249</v>
      </c>
      <c r="AS267" s="296">
        <f t="shared" si="72"/>
        <v>10578</v>
      </c>
      <c r="AT267" s="296">
        <v>8329</v>
      </c>
      <c r="AU267" s="296">
        <v>2249</v>
      </c>
      <c r="AV267" s="296">
        <f t="shared" si="69"/>
        <v>10578</v>
      </c>
      <c r="AW267" s="296"/>
      <c r="AX267" s="296"/>
      <c r="AY267" s="296"/>
      <c r="AZ267" s="296">
        <v>8329</v>
      </c>
      <c r="BA267" s="296">
        <v>2249</v>
      </c>
      <c r="BB267" s="296">
        <v>10578</v>
      </c>
      <c r="BC267" s="499">
        <f t="shared" si="77"/>
        <v>-8329</v>
      </c>
      <c r="BD267" s="499">
        <f t="shared" si="77"/>
        <v>-2249</v>
      </c>
      <c r="BE267" s="499">
        <f t="shared" si="77"/>
        <v>0</v>
      </c>
      <c r="BF267" s="296">
        <v>0</v>
      </c>
      <c r="BG267" s="296">
        <v>0</v>
      </c>
      <c r="BH267" s="296">
        <v>10578</v>
      </c>
      <c r="BI267" s="723"/>
      <c r="BJ267" s="723"/>
      <c r="BK267" s="723"/>
      <c r="BL267" s="723"/>
      <c r="BM267" s="723"/>
      <c r="BN267" s="723"/>
      <c r="BO267" s="723"/>
      <c r="BP267" s="725"/>
      <c r="BQ267" s="723"/>
      <c r="BR267" s="723"/>
      <c r="BS267" s="723"/>
      <c r="BT267" s="723"/>
      <c r="BU267" s="723"/>
      <c r="BV267" s="723"/>
      <c r="BW267" s="723"/>
      <c r="BX267" s="723"/>
      <c r="BY267" s="725"/>
      <c r="BZ267" s="723"/>
      <c r="CA267" s="723"/>
      <c r="CB267" s="516">
        <v>0</v>
      </c>
      <c r="CC267" s="297">
        <v>0</v>
      </c>
      <c r="CD267" s="723"/>
    </row>
    <row r="268" spans="1:82" ht="22.5" x14ac:dyDescent="0.2">
      <c r="A268" s="703"/>
      <c r="B268" s="292" t="s">
        <v>1381</v>
      </c>
      <c r="C268" s="293" t="s">
        <v>1219</v>
      </c>
      <c r="D268" s="314" t="s">
        <v>729</v>
      </c>
      <c r="E268" s="512" t="s">
        <v>766</v>
      </c>
      <c r="F268" s="294" t="s">
        <v>1220</v>
      </c>
      <c r="G268" s="294"/>
      <c r="H268" s="294"/>
      <c r="I268" s="332"/>
      <c r="J268" s="332"/>
      <c r="K268" s="332"/>
      <c r="L268" s="296"/>
      <c r="M268" s="296"/>
      <c r="N268" s="296"/>
      <c r="O268" s="321"/>
      <c r="P268" s="296"/>
      <c r="Q268" s="296"/>
      <c r="R268" s="296"/>
      <c r="S268" s="296"/>
      <c r="T268" s="296"/>
      <c r="U268" s="296"/>
      <c r="V268" s="296"/>
      <c r="W268" s="296"/>
      <c r="X268" s="296"/>
      <c r="Y268" s="296"/>
      <c r="Z268" s="296"/>
      <c r="AA268" s="296"/>
      <c r="AB268" s="296"/>
      <c r="AC268" s="296"/>
      <c r="AD268" s="296"/>
      <c r="AE268" s="296"/>
      <c r="AF268" s="296"/>
      <c r="AG268" s="296"/>
      <c r="AH268" s="299"/>
      <c r="AI268" s="296"/>
      <c r="AJ268" s="299"/>
      <c r="AK268" s="499"/>
      <c r="AL268" s="499"/>
      <c r="AM268" s="499"/>
      <c r="AN268" s="499"/>
      <c r="AO268" s="499"/>
      <c r="AP268" s="499"/>
      <c r="AQ268" s="296">
        <f t="shared" si="75"/>
        <v>5661</v>
      </c>
      <c r="AR268" s="296">
        <f t="shared" si="72"/>
        <v>1529</v>
      </c>
      <c r="AS268" s="296">
        <f t="shared" si="72"/>
        <v>7190</v>
      </c>
      <c r="AT268" s="296">
        <v>5661</v>
      </c>
      <c r="AU268" s="296">
        <v>1529</v>
      </c>
      <c r="AV268" s="296">
        <f t="shared" si="69"/>
        <v>7190</v>
      </c>
      <c r="AW268" s="296"/>
      <c r="AX268" s="296"/>
      <c r="AY268" s="296"/>
      <c r="AZ268" s="296">
        <v>5661</v>
      </c>
      <c r="BA268" s="296">
        <v>1529</v>
      </c>
      <c r="BB268" s="296">
        <v>7190</v>
      </c>
      <c r="BC268" s="499">
        <f t="shared" si="77"/>
        <v>0</v>
      </c>
      <c r="BD268" s="499">
        <f t="shared" si="77"/>
        <v>-1529</v>
      </c>
      <c r="BE268" s="499">
        <f t="shared" si="77"/>
        <v>-1529</v>
      </c>
      <c r="BF268" s="296">
        <v>5661</v>
      </c>
      <c r="BG268" s="296">
        <v>0</v>
      </c>
      <c r="BH268" s="296">
        <f t="shared" si="70"/>
        <v>5661</v>
      </c>
      <c r="BI268" s="723"/>
      <c r="BJ268" s="723"/>
      <c r="BK268" s="723"/>
      <c r="BL268" s="723"/>
      <c r="BM268" s="723"/>
      <c r="BN268" s="723"/>
      <c r="BO268" s="723"/>
      <c r="BP268" s="725"/>
      <c r="BQ268" s="723"/>
      <c r="BR268" s="723"/>
      <c r="BS268" s="723"/>
      <c r="BT268" s="723"/>
      <c r="BU268" s="723"/>
      <c r="BV268" s="723"/>
      <c r="BW268" s="723"/>
      <c r="BX268" s="723"/>
      <c r="BY268" s="725"/>
      <c r="BZ268" s="723"/>
      <c r="CA268" s="723"/>
      <c r="CB268" s="516">
        <v>0</v>
      </c>
      <c r="CC268" s="297">
        <v>0</v>
      </c>
      <c r="CD268" s="723"/>
    </row>
    <row r="269" spans="1:82" ht="22.5" x14ac:dyDescent="0.2">
      <c r="A269" s="703"/>
      <c r="B269" s="292" t="s">
        <v>1381</v>
      </c>
      <c r="C269" s="293" t="s">
        <v>1221</v>
      </c>
      <c r="D269" s="314" t="s">
        <v>729</v>
      </c>
      <c r="E269" s="512" t="s">
        <v>766</v>
      </c>
      <c r="F269" s="294" t="s">
        <v>1222</v>
      </c>
      <c r="G269" s="294"/>
      <c r="H269" s="294"/>
      <c r="I269" s="332"/>
      <c r="J269" s="332"/>
      <c r="K269" s="332"/>
      <c r="L269" s="296"/>
      <c r="M269" s="296"/>
      <c r="N269" s="296"/>
      <c r="O269" s="321"/>
      <c r="P269" s="296"/>
      <c r="Q269" s="296"/>
      <c r="R269" s="296"/>
      <c r="S269" s="296"/>
      <c r="T269" s="296"/>
      <c r="U269" s="296"/>
      <c r="V269" s="296"/>
      <c r="W269" s="296"/>
      <c r="X269" s="296"/>
      <c r="Y269" s="296"/>
      <c r="Z269" s="296"/>
      <c r="AA269" s="296"/>
      <c r="AB269" s="296"/>
      <c r="AC269" s="296"/>
      <c r="AD269" s="296"/>
      <c r="AE269" s="296"/>
      <c r="AF269" s="296"/>
      <c r="AG269" s="296"/>
      <c r="AH269" s="299"/>
      <c r="AI269" s="296"/>
      <c r="AJ269" s="299"/>
      <c r="AK269" s="499"/>
      <c r="AL269" s="499"/>
      <c r="AM269" s="499"/>
      <c r="AN269" s="499"/>
      <c r="AO269" s="499"/>
      <c r="AP269" s="499"/>
      <c r="AQ269" s="296">
        <f t="shared" si="75"/>
        <v>11713</v>
      </c>
      <c r="AR269" s="296">
        <f t="shared" si="72"/>
        <v>3162</v>
      </c>
      <c r="AS269" s="296">
        <f t="shared" si="72"/>
        <v>14875</v>
      </c>
      <c r="AT269" s="296">
        <v>11713</v>
      </c>
      <c r="AU269" s="296">
        <v>3162</v>
      </c>
      <c r="AV269" s="296">
        <f t="shared" si="69"/>
        <v>14875</v>
      </c>
      <c r="AW269" s="296"/>
      <c r="AX269" s="296"/>
      <c r="AY269" s="296"/>
      <c r="AZ269" s="296">
        <v>11713</v>
      </c>
      <c r="BA269" s="296">
        <v>3162</v>
      </c>
      <c r="BB269" s="296">
        <v>14875</v>
      </c>
      <c r="BC269" s="499">
        <f t="shared" si="77"/>
        <v>0</v>
      </c>
      <c r="BD269" s="499">
        <f t="shared" si="77"/>
        <v>-3162</v>
      </c>
      <c r="BE269" s="499">
        <f t="shared" si="77"/>
        <v>-3162</v>
      </c>
      <c r="BF269" s="296">
        <v>11713</v>
      </c>
      <c r="BG269" s="296">
        <v>0</v>
      </c>
      <c r="BH269" s="296">
        <f t="shared" si="70"/>
        <v>11713</v>
      </c>
      <c r="BI269" s="723"/>
      <c r="BJ269" s="723"/>
      <c r="BK269" s="723"/>
      <c r="BL269" s="723"/>
      <c r="BM269" s="723"/>
      <c r="BN269" s="723"/>
      <c r="BO269" s="723"/>
      <c r="BP269" s="725"/>
      <c r="BQ269" s="723"/>
      <c r="BR269" s="723"/>
      <c r="BS269" s="723"/>
      <c r="BT269" s="723"/>
      <c r="BU269" s="723"/>
      <c r="BV269" s="723"/>
      <c r="BW269" s="723"/>
      <c r="BX269" s="723"/>
      <c r="BY269" s="725"/>
      <c r="BZ269" s="723"/>
      <c r="CA269" s="723"/>
      <c r="CB269" s="516">
        <v>0</v>
      </c>
      <c r="CC269" s="297">
        <v>0</v>
      </c>
      <c r="CD269" s="723"/>
    </row>
    <row r="270" spans="1:82" x14ac:dyDescent="0.2">
      <c r="A270" s="703"/>
      <c r="B270" s="292" t="s">
        <v>1381</v>
      </c>
      <c r="C270" s="293" t="s">
        <v>1505</v>
      </c>
      <c r="D270" s="314"/>
      <c r="E270" s="512" t="s">
        <v>766</v>
      </c>
      <c r="F270" s="294" t="s">
        <v>1223</v>
      </c>
      <c r="G270" s="294"/>
      <c r="H270" s="294"/>
      <c r="I270" s="332"/>
      <c r="J270" s="332"/>
      <c r="K270" s="332"/>
      <c r="L270" s="296"/>
      <c r="M270" s="296"/>
      <c r="N270" s="296"/>
      <c r="O270" s="321"/>
      <c r="P270" s="296"/>
      <c r="Q270" s="296"/>
      <c r="R270" s="296"/>
      <c r="S270" s="296"/>
      <c r="T270" s="296"/>
      <c r="U270" s="296"/>
      <c r="V270" s="296"/>
      <c r="W270" s="296"/>
      <c r="X270" s="296"/>
      <c r="Y270" s="296"/>
      <c r="Z270" s="296"/>
      <c r="AA270" s="296"/>
      <c r="AB270" s="296"/>
      <c r="AC270" s="296"/>
      <c r="AD270" s="296"/>
      <c r="AE270" s="296"/>
      <c r="AF270" s="296"/>
      <c r="AG270" s="296"/>
      <c r="AH270" s="299"/>
      <c r="AI270" s="296"/>
      <c r="AJ270" s="299"/>
      <c r="AK270" s="499"/>
      <c r="AL270" s="499"/>
      <c r="AM270" s="499"/>
      <c r="AN270" s="499"/>
      <c r="AO270" s="499"/>
      <c r="AP270" s="499"/>
      <c r="AQ270" s="296">
        <f t="shared" si="75"/>
        <v>7</v>
      </c>
      <c r="AR270" s="296">
        <f t="shared" si="72"/>
        <v>2</v>
      </c>
      <c r="AS270" s="296">
        <f t="shared" si="72"/>
        <v>9</v>
      </c>
      <c r="AT270" s="296">
        <v>7</v>
      </c>
      <c r="AU270" s="296">
        <v>2</v>
      </c>
      <c r="AV270" s="296">
        <f t="shared" si="69"/>
        <v>9</v>
      </c>
      <c r="AW270" s="296"/>
      <c r="AX270" s="296"/>
      <c r="AY270" s="296"/>
      <c r="AZ270" s="296">
        <v>7</v>
      </c>
      <c r="BA270" s="296">
        <v>2</v>
      </c>
      <c r="BB270" s="296">
        <v>9</v>
      </c>
      <c r="BC270" s="499">
        <f t="shared" si="77"/>
        <v>0</v>
      </c>
      <c r="BD270" s="499">
        <f t="shared" si="77"/>
        <v>0</v>
      </c>
      <c r="BE270" s="499">
        <f t="shared" si="77"/>
        <v>0</v>
      </c>
      <c r="BF270" s="296">
        <v>7</v>
      </c>
      <c r="BG270" s="296">
        <v>2</v>
      </c>
      <c r="BH270" s="296">
        <f t="shared" si="70"/>
        <v>9</v>
      </c>
      <c r="BI270" s="723"/>
      <c r="BJ270" s="723"/>
      <c r="BK270" s="723"/>
      <c r="BL270" s="723"/>
      <c r="BM270" s="723"/>
      <c r="BN270" s="723"/>
      <c r="BO270" s="723"/>
      <c r="BP270" s="725"/>
      <c r="BQ270" s="723"/>
      <c r="BR270" s="723"/>
      <c r="BS270" s="723"/>
      <c r="BT270" s="723"/>
      <c r="BU270" s="723"/>
      <c r="BV270" s="723"/>
      <c r="BW270" s="723"/>
      <c r="BX270" s="723"/>
      <c r="BY270" s="725"/>
      <c r="BZ270" s="723"/>
      <c r="CA270" s="723"/>
      <c r="CB270" s="516">
        <v>7000</v>
      </c>
      <c r="CC270" s="297">
        <v>9</v>
      </c>
      <c r="CD270" s="723"/>
    </row>
    <row r="271" spans="1:82" x14ac:dyDescent="0.2">
      <c r="A271" s="703"/>
      <c r="B271" s="292" t="s">
        <v>1381</v>
      </c>
      <c r="C271" s="293" t="s">
        <v>1506</v>
      </c>
      <c r="D271" s="314" t="s">
        <v>729</v>
      </c>
      <c r="E271" s="512" t="s">
        <v>766</v>
      </c>
      <c r="F271" s="294" t="s">
        <v>1224</v>
      </c>
      <c r="G271" s="294"/>
      <c r="H271" s="294"/>
      <c r="I271" s="332"/>
      <c r="J271" s="332"/>
      <c r="K271" s="332"/>
      <c r="L271" s="296"/>
      <c r="M271" s="296"/>
      <c r="N271" s="296"/>
      <c r="O271" s="321"/>
      <c r="P271" s="296"/>
      <c r="Q271" s="296"/>
      <c r="R271" s="296"/>
      <c r="S271" s="296"/>
      <c r="T271" s="296"/>
      <c r="U271" s="296"/>
      <c r="V271" s="296"/>
      <c r="W271" s="296"/>
      <c r="X271" s="296"/>
      <c r="Y271" s="296"/>
      <c r="Z271" s="296"/>
      <c r="AA271" s="296"/>
      <c r="AB271" s="296"/>
      <c r="AC271" s="296"/>
      <c r="AD271" s="296"/>
      <c r="AE271" s="296"/>
      <c r="AF271" s="296"/>
      <c r="AG271" s="296"/>
      <c r="AH271" s="299"/>
      <c r="AI271" s="296"/>
      <c r="AJ271" s="299"/>
      <c r="AK271" s="499"/>
      <c r="AL271" s="499"/>
      <c r="AM271" s="499"/>
      <c r="AN271" s="499"/>
      <c r="AO271" s="499"/>
      <c r="AP271" s="499"/>
      <c r="AQ271" s="296">
        <f t="shared" si="75"/>
        <v>2909</v>
      </c>
      <c r="AR271" s="296">
        <f t="shared" si="72"/>
        <v>785</v>
      </c>
      <c r="AS271" s="296">
        <f t="shared" si="72"/>
        <v>3694</v>
      </c>
      <c r="AT271" s="296">
        <v>2909</v>
      </c>
      <c r="AU271" s="296">
        <v>785</v>
      </c>
      <c r="AV271" s="296">
        <f t="shared" si="69"/>
        <v>3694</v>
      </c>
      <c r="AW271" s="296"/>
      <c r="AX271" s="296"/>
      <c r="AY271" s="296"/>
      <c r="AZ271" s="296">
        <v>2909</v>
      </c>
      <c r="BA271" s="296">
        <v>785</v>
      </c>
      <c r="BB271" s="296">
        <v>3694</v>
      </c>
      <c r="BC271" s="499">
        <f t="shared" si="77"/>
        <v>0</v>
      </c>
      <c r="BD271" s="499">
        <f t="shared" si="77"/>
        <v>-785</v>
      </c>
      <c r="BE271" s="499">
        <f t="shared" si="77"/>
        <v>-785</v>
      </c>
      <c r="BF271" s="296">
        <v>2909</v>
      </c>
      <c r="BG271" s="296">
        <v>0</v>
      </c>
      <c r="BH271" s="296">
        <f>SUM(BF271:BG271)</f>
        <v>2909</v>
      </c>
      <c r="BI271" s="723"/>
      <c r="BJ271" s="723"/>
      <c r="BK271" s="723"/>
      <c r="BL271" s="723"/>
      <c r="BM271" s="723"/>
      <c r="BN271" s="723"/>
      <c r="BO271" s="723"/>
      <c r="BP271" s="725"/>
      <c r="BQ271" s="723"/>
      <c r="BR271" s="723"/>
      <c r="BS271" s="723"/>
      <c r="BT271" s="723"/>
      <c r="BU271" s="723"/>
      <c r="BV271" s="723"/>
      <c r="BW271" s="723"/>
      <c r="BX271" s="723"/>
      <c r="BY271" s="725"/>
      <c r="BZ271" s="723"/>
      <c r="CA271" s="723"/>
      <c r="CB271" s="516">
        <v>2908483</v>
      </c>
      <c r="CC271" s="297">
        <v>2908</v>
      </c>
      <c r="CD271" s="723"/>
    </row>
    <row r="272" spans="1:82" x14ac:dyDescent="0.2">
      <c r="A272" s="703"/>
      <c r="B272" s="292" t="s">
        <v>1381</v>
      </c>
      <c r="C272" s="293" t="s">
        <v>1507</v>
      </c>
      <c r="D272" s="314" t="s">
        <v>729</v>
      </c>
      <c r="E272" s="512" t="s">
        <v>766</v>
      </c>
      <c r="F272" s="294" t="s">
        <v>1225</v>
      </c>
      <c r="G272" s="294"/>
      <c r="H272" s="294"/>
      <c r="I272" s="332"/>
      <c r="J272" s="332"/>
      <c r="K272" s="332"/>
      <c r="L272" s="296"/>
      <c r="M272" s="296"/>
      <c r="N272" s="296"/>
      <c r="O272" s="321"/>
      <c r="P272" s="296"/>
      <c r="Q272" s="296"/>
      <c r="R272" s="296"/>
      <c r="S272" s="296"/>
      <c r="T272" s="296"/>
      <c r="U272" s="296"/>
      <c r="V272" s="296"/>
      <c r="W272" s="296"/>
      <c r="X272" s="296"/>
      <c r="Y272" s="296"/>
      <c r="Z272" s="296"/>
      <c r="AA272" s="296"/>
      <c r="AB272" s="296"/>
      <c r="AC272" s="296"/>
      <c r="AD272" s="296"/>
      <c r="AE272" s="296"/>
      <c r="AF272" s="296"/>
      <c r="AG272" s="296"/>
      <c r="AH272" s="299"/>
      <c r="AI272" s="296"/>
      <c r="AJ272" s="299"/>
      <c r="AK272" s="499"/>
      <c r="AL272" s="499"/>
      <c r="AM272" s="499"/>
      <c r="AN272" s="499"/>
      <c r="AO272" s="499"/>
      <c r="AP272" s="499"/>
      <c r="AQ272" s="296">
        <f t="shared" si="75"/>
        <v>2156</v>
      </c>
      <c r="AR272" s="296">
        <f t="shared" si="72"/>
        <v>582</v>
      </c>
      <c r="AS272" s="296">
        <f t="shared" si="72"/>
        <v>2738</v>
      </c>
      <c r="AT272" s="296">
        <v>2156</v>
      </c>
      <c r="AU272" s="296">
        <v>582</v>
      </c>
      <c r="AV272" s="296">
        <f t="shared" si="69"/>
        <v>2738</v>
      </c>
      <c r="AW272" s="296"/>
      <c r="AX272" s="296"/>
      <c r="AY272" s="296"/>
      <c r="AZ272" s="296">
        <v>2156</v>
      </c>
      <c r="BA272" s="296">
        <v>582</v>
      </c>
      <c r="BB272" s="296">
        <v>2738</v>
      </c>
      <c r="BC272" s="499">
        <f t="shared" si="77"/>
        <v>0</v>
      </c>
      <c r="BD272" s="499">
        <f t="shared" si="77"/>
        <v>-582</v>
      </c>
      <c r="BE272" s="499">
        <f t="shared" si="77"/>
        <v>-582</v>
      </c>
      <c r="BF272" s="296">
        <v>2156</v>
      </c>
      <c r="BG272" s="296">
        <v>0</v>
      </c>
      <c r="BH272" s="296">
        <f t="shared" ref="BH272:BH277" si="78">SUM(BF272:BG272)</f>
        <v>2156</v>
      </c>
      <c r="BI272" s="723"/>
      <c r="BJ272" s="723"/>
      <c r="BK272" s="723"/>
      <c r="BL272" s="723"/>
      <c r="BM272" s="723"/>
      <c r="BN272" s="723"/>
      <c r="BO272" s="723"/>
      <c r="BP272" s="725"/>
      <c r="BQ272" s="723"/>
      <c r="BR272" s="723"/>
      <c r="BS272" s="723"/>
      <c r="BT272" s="723"/>
      <c r="BU272" s="723"/>
      <c r="BV272" s="723"/>
      <c r="BW272" s="723"/>
      <c r="BX272" s="723"/>
      <c r="BY272" s="725"/>
      <c r="BZ272" s="723"/>
      <c r="CA272" s="723"/>
      <c r="CB272" s="516">
        <v>2156350</v>
      </c>
      <c r="CC272" s="297">
        <v>2156</v>
      </c>
      <c r="CD272" s="723"/>
    </row>
    <row r="273" spans="1:82" x14ac:dyDescent="0.2">
      <c r="A273" s="703"/>
      <c r="B273" s="292" t="s">
        <v>1381</v>
      </c>
      <c r="C273" s="293" t="s">
        <v>1508</v>
      </c>
      <c r="D273" s="314" t="s">
        <v>729</v>
      </c>
      <c r="E273" s="512" t="s">
        <v>766</v>
      </c>
      <c r="F273" s="294" t="s">
        <v>1226</v>
      </c>
      <c r="G273" s="294"/>
      <c r="H273" s="294"/>
      <c r="I273" s="332"/>
      <c r="J273" s="332"/>
      <c r="K273" s="332"/>
      <c r="L273" s="296"/>
      <c r="M273" s="296"/>
      <c r="N273" s="296"/>
      <c r="O273" s="321"/>
      <c r="P273" s="296"/>
      <c r="Q273" s="296"/>
      <c r="R273" s="296"/>
      <c r="S273" s="296"/>
      <c r="T273" s="296"/>
      <c r="U273" s="296"/>
      <c r="V273" s="296"/>
      <c r="W273" s="296"/>
      <c r="X273" s="296"/>
      <c r="Y273" s="296"/>
      <c r="Z273" s="296"/>
      <c r="AA273" s="296"/>
      <c r="AB273" s="296"/>
      <c r="AC273" s="296"/>
      <c r="AD273" s="296"/>
      <c r="AE273" s="296"/>
      <c r="AF273" s="296"/>
      <c r="AG273" s="296"/>
      <c r="AH273" s="299"/>
      <c r="AI273" s="296"/>
      <c r="AJ273" s="299"/>
      <c r="AK273" s="499"/>
      <c r="AL273" s="499"/>
      <c r="AM273" s="499"/>
      <c r="AN273" s="499"/>
      <c r="AO273" s="499"/>
      <c r="AP273" s="499"/>
      <c r="AQ273" s="296">
        <f t="shared" si="75"/>
        <v>497</v>
      </c>
      <c r="AR273" s="296">
        <f t="shared" si="72"/>
        <v>134</v>
      </c>
      <c r="AS273" s="296">
        <f t="shared" si="72"/>
        <v>631</v>
      </c>
      <c r="AT273" s="296">
        <v>497</v>
      </c>
      <c r="AU273" s="296">
        <v>134</v>
      </c>
      <c r="AV273" s="296">
        <f t="shared" si="69"/>
        <v>631</v>
      </c>
      <c r="AW273" s="296"/>
      <c r="AX273" s="296"/>
      <c r="AY273" s="296"/>
      <c r="AZ273" s="296">
        <v>497</v>
      </c>
      <c r="BA273" s="296">
        <v>134</v>
      </c>
      <c r="BB273" s="296">
        <v>631</v>
      </c>
      <c r="BC273" s="499">
        <f t="shared" si="77"/>
        <v>0</v>
      </c>
      <c r="BD273" s="499">
        <f t="shared" si="77"/>
        <v>-134</v>
      </c>
      <c r="BE273" s="499">
        <f t="shared" si="77"/>
        <v>-134</v>
      </c>
      <c r="BF273" s="296">
        <v>497</v>
      </c>
      <c r="BG273" s="296">
        <v>0</v>
      </c>
      <c r="BH273" s="296">
        <f t="shared" si="78"/>
        <v>497</v>
      </c>
      <c r="BI273" s="723"/>
      <c r="BJ273" s="723"/>
      <c r="BK273" s="723"/>
      <c r="BL273" s="723"/>
      <c r="BM273" s="723"/>
      <c r="BN273" s="723"/>
      <c r="BO273" s="723"/>
      <c r="BP273" s="725"/>
      <c r="BQ273" s="723"/>
      <c r="BR273" s="723"/>
      <c r="BS273" s="723"/>
      <c r="BT273" s="723"/>
      <c r="BU273" s="723"/>
      <c r="BV273" s="723"/>
      <c r="BW273" s="723"/>
      <c r="BX273" s="723"/>
      <c r="BY273" s="725"/>
      <c r="BZ273" s="723"/>
      <c r="CA273" s="723"/>
      <c r="CB273" s="516">
        <v>496592</v>
      </c>
      <c r="CC273" s="297">
        <v>497</v>
      </c>
      <c r="CD273" s="723"/>
    </row>
    <row r="274" spans="1:82" x14ac:dyDescent="0.2">
      <c r="A274" s="703"/>
      <c r="B274" s="292" t="s">
        <v>1381</v>
      </c>
      <c r="C274" s="293" t="s">
        <v>1509</v>
      </c>
      <c r="D274" s="314"/>
      <c r="E274" s="512" t="s">
        <v>766</v>
      </c>
      <c r="F274" s="294" t="s">
        <v>866</v>
      </c>
      <c r="G274" s="294"/>
      <c r="H274" s="294"/>
      <c r="I274" s="332"/>
      <c r="J274" s="332"/>
      <c r="K274" s="332"/>
      <c r="L274" s="296"/>
      <c r="M274" s="296"/>
      <c r="N274" s="296"/>
      <c r="O274" s="321"/>
      <c r="P274" s="296"/>
      <c r="Q274" s="296"/>
      <c r="R274" s="296"/>
      <c r="S274" s="296"/>
      <c r="T274" s="296"/>
      <c r="U274" s="296"/>
      <c r="V274" s="296"/>
      <c r="W274" s="296"/>
      <c r="X274" s="296"/>
      <c r="Y274" s="296"/>
      <c r="Z274" s="296"/>
      <c r="AA274" s="296"/>
      <c r="AB274" s="296"/>
      <c r="AC274" s="296"/>
      <c r="AD274" s="296"/>
      <c r="AE274" s="296"/>
      <c r="AF274" s="296"/>
      <c r="AG274" s="296"/>
      <c r="AH274" s="299"/>
      <c r="AI274" s="296"/>
      <c r="AJ274" s="299"/>
      <c r="AK274" s="499"/>
      <c r="AL274" s="499"/>
      <c r="AM274" s="499"/>
      <c r="AN274" s="499"/>
      <c r="AO274" s="499"/>
      <c r="AP274" s="499"/>
      <c r="AQ274" s="296">
        <v>4311</v>
      </c>
      <c r="AR274" s="296">
        <f t="shared" si="72"/>
        <v>1164</v>
      </c>
      <c r="AS274" s="296">
        <f t="shared" si="72"/>
        <v>5475</v>
      </c>
      <c r="AT274" s="296">
        <v>4311</v>
      </c>
      <c r="AU274" s="296">
        <v>1164</v>
      </c>
      <c r="AV274" s="296">
        <f t="shared" si="69"/>
        <v>5475</v>
      </c>
      <c r="AW274" s="296"/>
      <c r="AX274" s="296"/>
      <c r="AY274" s="296"/>
      <c r="AZ274" s="296">
        <v>4311</v>
      </c>
      <c r="BA274" s="296">
        <v>1164</v>
      </c>
      <c r="BB274" s="296">
        <v>5475</v>
      </c>
      <c r="BC274" s="499">
        <f t="shared" si="77"/>
        <v>1964</v>
      </c>
      <c r="BD274" s="499">
        <f t="shared" si="77"/>
        <v>530</v>
      </c>
      <c r="BE274" s="499">
        <f t="shared" si="77"/>
        <v>2494</v>
      </c>
      <c r="BF274" s="296">
        <v>6275</v>
      </c>
      <c r="BG274" s="296">
        <v>1694</v>
      </c>
      <c r="BH274" s="296">
        <f t="shared" si="78"/>
        <v>7969</v>
      </c>
      <c r="BI274" s="723"/>
      <c r="BJ274" s="723"/>
      <c r="BK274" s="723"/>
      <c r="BL274" s="723"/>
      <c r="BM274" s="723"/>
      <c r="BN274" s="723"/>
      <c r="BO274" s="723"/>
      <c r="BP274" s="725"/>
      <c r="BQ274" s="723"/>
      <c r="BR274" s="723"/>
      <c r="BS274" s="723"/>
      <c r="BT274" s="723"/>
      <c r="BU274" s="723"/>
      <c r="BV274" s="723"/>
      <c r="BW274" s="723"/>
      <c r="BX274" s="723"/>
      <c r="BY274" s="725"/>
      <c r="BZ274" s="723"/>
      <c r="CA274" s="723"/>
      <c r="CB274" s="516">
        <v>6274870</v>
      </c>
      <c r="CC274" s="297">
        <v>7969</v>
      </c>
      <c r="CD274" s="723"/>
    </row>
    <row r="275" spans="1:82" ht="22.5" x14ac:dyDescent="0.2">
      <c r="A275" s="703"/>
      <c r="B275" s="292" t="s">
        <v>1381</v>
      </c>
      <c r="C275" s="293" t="s">
        <v>1510</v>
      </c>
      <c r="D275" s="314"/>
      <c r="E275" s="512" t="s">
        <v>766</v>
      </c>
      <c r="F275" s="294" t="s">
        <v>1227</v>
      </c>
      <c r="G275" s="294"/>
      <c r="H275" s="294"/>
      <c r="I275" s="332"/>
      <c r="J275" s="332"/>
      <c r="K275" s="332"/>
      <c r="L275" s="296"/>
      <c r="M275" s="296"/>
      <c r="N275" s="296"/>
      <c r="O275" s="321"/>
      <c r="P275" s="296"/>
      <c r="Q275" s="296"/>
      <c r="R275" s="296"/>
      <c r="S275" s="296"/>
      <c r="T275" s="296"/>
      <c r="U275" s="296"/>
      <c r="V275" s="296"/>
      <c r="W275" s="296"/>
      <c r="X275" s="296"/>
      <c r="Y275" s="296"/>
      <c r="Z275" s="296"/>
      <c r="AA275" s="296"/>
      <c r="AB275" s="296"/>
      <c r="AC275" s="296"/>
      <c r="AD275" s="296"/>
      <c r="AE275" s="296"/>
      <c r="AF275" s="296"/>
      <c r="AG275" s="296"/>
      <c r="AH275" s="299"/>
      <c r="AI275" s="296"/>
      <c r="AJ275" s="299"/>
      <c r="AK275" s="499"/>
      <c r="AL275" s="499"/>
      <c r="AM275" s="499"/>
      <c r="AN275" s="499"/>
      <c r="AO275" s="499"/>
      <c r="AP275" s="499"/>
      <c r="AQ275" s="296">
        <f t="shared" si="75"/>
        <v>1053</v>
      </c>
      <c r="AR275" s="296">
        <f t="shared" si="72"/>
        <v>284</v>
      </c>
      <c r="AS275" s="296">
        <f t="shared" si="72"/>
        <v>1337</v>
      </c>
      <c r="AT275" s="296">
        <v>1053</v>
      </c>
      <c r="AU275" s="296">
        <v>284</v>
      </c>
      <c r="AV275" s="296">
        <f t="shared" si="69"/>
        <v>1337</v>
      </c>
      <c r="AW275" s="296"/>
      <c r="AX275" s="296"/>
      <c r="AY275" s="296"/>
      <c r="AZ275" s="296">
        <v>1053</v>
      </c>
      <c r="BA275" s="296">
        <v>284</v>
      </c>
      <c r="BB275" s="296">
        <v>1337</v>
      </c>
      <c r="BC275" s="499">
        <f t="shared" si="77"/>
        <v>0</v>
      </c>
      <c r="BD275" s="499">
        <f t="shared" si="77"/>
        <v>0</v>
      </c>
      <c r="BE275" s="499">
        <f t="shared" si="77"/>
        <v>0</v>
      </c>
      <c r="BF275" s="296">
        <v>1053</v>
      </c>
      <c r="BG275" s="296">
        <v>284</v>
      </c>
      <c r="BH275" s="296">
        <f t="shared" si="78"/>
        <v>1337</v>
      </c>
      <c r="BI275" s="723"/>
      <c r="BJ275" s="723"/>
      <c r="BK275" s="723"/>
      <c r="BL275" s="723"/>
      <c r="BM275" s="723"/>
      <c r="BN275" s="723"/>
      <c r="BO275" s="723"/>
      <c r="BP275" s="725"/>
      <c r="BQ275" s="723"/>
      <c r="BR275" s="723"/>
      <c r="BS275" s="723"/>
      <c r="BT275" s="723"/>
      <c r="BU275" s="723"/>
      <c r="BV275" s="723"/>
      <c r="BW275" s="723"/>
      <c r="BX275" s="723"/>
      <c r="BY275" s="725"/>
      <c r="BZ275" s="723"/>
      <c r="CA275" s="723"/>
      <c r="CB275" s="516">
        <v>1052800</v>
      </c>
      <c r="CC275" s="297">
        <v>1337</v>
      </c>
      <c r="CD275" s="723"/>
    </row>
    <row r="276" spans="1:82" x14ac:dyDescent="0.2">
      <c r="A276" s="703"/>
      <c r="B276" s="292" t="s">
        <v>1381</v>
      </c>
      <c r="C276" s="293"/>
      <c r="D276" s="314"/>
      <c r="E276" s="512"/>
      <c r="F276" s="294" t="s">
        <v>1511</v>
      </c>
      <c r="G276" s="294"/>
      <c r="H276" s="294"/>
      <c r="I276" s="332"/>
      <c r="J276" s="332"/>
      <c r="K276" s="332"/>
      <c r="L276" s="296"/>
      <c r="M276" s="296"/>
      <c r="N276" s="296"/>
      <c r="O276" s="321"/>
      <c r="P276" s="296"/>
      <c r="Q276" s="296"/>
      <c r="R276" s="296"/>
      <c r="S276" s="296"/>
      <c r="T276" s="296"/>
      <c r="U276" s="296"/>
      <c r="V276" s="296"/>
      <c r="W276" s="296"/>
      <c r="X276" s="296"/>
      <c r="Y276" s="296"/>
      <c r="Z276" s="296"/>
      <c r="AA276" s="296"/>
      <c r="AB276" s="296"/>
      <c r="AC276" s="296"/>
      <c r="AD276" s="296"/>
      <c r="AE276" s="296"/>
      <c r="AF276" s="296"/>
      <c r="AG276" s="296"/>
      <c r="AH276" s="299"/>
      <c r="AI276" s="296"/>
      <c r="AJ276" s="299"/>
      <c r="AK276" s="499"/>
      <c r="AL276" s="499"/>
      <c r="AM276" s="499"/>
      <c r="AN276" s="499"/>
      <c r="AO276" s="499"/>
      <c r="AP276" s="499"/>
      <c r="AQ276" s="296">
        <f t="shared" si="75"/>
        <v>30551</v>
      </c>
      <c r="AR276" s="296">
        <f t="shared" si="72"/>
        <v>8249</v>
      </c>
      <c r="AS276" s="296">
        <f t="shared" si="72"/>
        <v>38800</v>
      </c>
      <c r="AT276" s="296">
        <v>30551</v>
      </c>
      <c r="AU276" s="296">
        <v>8249</v>
      </c>
      <c r="AV276" s="296">
        <v>38800</v>
      </c>
      <c r="AW276" s="296"/>
      <c r="AX276" s="296"/>
      <c r="AY276" s="296"/>
      <c r="AZ276" s="296">
        <v>30551</v>
      </c>
      <c r="BA276" s="296">
        <v>8249</v>
      </c>
      <c r="BB276" s="296">
        <v>38800</v>
      </c>
      <c r="BC276" s="499">
        <f t="shared" si="77"/>
        <v>-30551</v>
      </c>
      <c r="BD276" s="499">
        <f t="shared" si="77"/>
        <v>-8249</v>
      </c>
      <c r="BE276" s="499">
        <f t="shared" si="77"/>
        <v>-38800</v>
      </c>
      <c r="BF276" s="296">
        <v>0</v>
      </c>
      <c r="BG276" s="296">
        <v>0</v>
      </c>
      <c r="BH276" s="296">
        <v>0</v>
      </c>
      <c r="BI276" s="723"/>
      <c r="BJ276" s="723"/>
      <c r="BK276" s="723"/>
      <c r="BL276" s="723"/>
      <c r="BM276" s="723"/>
      <c r="BN276" s="723"/>
      <c r="BO276" s="723"/>
      <c r="BP276" s="725"/>
      <c r="BQ276" s="723"/>
      <c r="BR276" s="723"/>
      <c r="BS276" s="723"/>
      <c r="BT276" s="723"/>
      <c r="BU276" s="723"/>
      <c r="BV276" s="723"/>
      <c r="BW276" s="723"/>
      <c r="BX276" s="723"/>
      <c r="BY276" s="725"/>
      <c r="BZ276" s="723"/>
      <c r="CA276" s="723"/>
      <c r="CB276" s="516">
        <v>0</v>
      </c>
      <c r="CC276" s="297">
        <v>0</v>
      </c>
      <c r="CD276" s="723"/>
    </row>
    <row r="277" spans="1:82" x14ac:dyDescent="0.2">
      <c r="A277" s="703"/>
      <c r="B277" s="292" t="s">
        <v>1381</v>
      </c>
      <c r="C277" s="293" t="s">
        <v>1512</v>
      </c>
      <c r="D277" s="314" t="s">
        <v>729</v>
      </c>
      <c r="E277" s="512" t="s">
        <v>766</v>
      </c>
      <c r="F277" s="294" t="s">
        <v>1513</v>
      </c>
      <c r="G277" s="294"/>
      <c r="H277" s="294"/>
      <c r="I277" s="332"/>
      <c r="J277" s="332"/>
      <c r="K277" s="332"/>
      <c r="L277" s="296"/>
      <c r="M277" s="296"/>
      <c r="N277" s="296"/>
      <c r="O277" s="321"/>
      <c r="P277" s="296"/>
      <c r="Q277" s="296"/>
      <c r="R277" s="296"/>
      <c r="S277" s="296"/>
      <c r="T277" s="296"/>
      <c r="U277" s="296"/>
      <c r="V277" s="296"/>
      <c r="W277" s="296"/>
      <c r="X277" s="296"/>
      <c r="Y277" s="296"/>
      <c r="Z277" s="296"/>
      <c r="AA277" s="296"/>
      <c r="AB277" s="296"/>
      <c r="AC277" s="296"/>
      <c r="AD277" s="296"/>
      <c r="AE277" s="296"/>
      <c r="AF277" s="296"/>
      <c r="AG277" s="296"/>
      <c r="AH277" s="299"/>
      <c r="AI277" s="296"/>
      <c r="AJ277" s="299"/>
      <c r="AK277" s="499"/>
      <c r="AL277" s="499"/>
      <c r="AM277" s="499"/>
      <c r="AN277" s="499"/>
      <c r="AO277" s="499"/>
      <c r="AP277" s="499"/>
      <c r="AQ277" s="296"/>
      <c r="AR277" s="296"/>
      <c r="AS277" s="296"/>
      <c r="AT277" s="296"/>
      <c r="AU277" s="296"/>
      <c r="AV277" s="296"/>
      <c r="AW277" s="296"/>
      <c r="AX277" s="296"/>
      <c r="AY277" s="296"/>
      <c r="AZ277" s="296"/>
      <c r="BA277" s="296"/>
      <c r="BB277" s="296"/>
      <c r="BC277" s="499">
        <f t="shared" si="77"/>
        <v>8252</v>
      </c>
      <c r="BD277" s="499">
        <f t="shared" si="77"/>
        <v>0</v>
      </c>
      <c r="BE277" s="499">
        <f t="shared" si="77"/>
        <v>8252</v>
      </c>
      <c r="BF277" s="296">
        <v>8252</v>
      </c>
      <c r="BG277" s="296">
        <v>0</v>
      </c>
      <c r="BH277" s="296">
        <f t="shared" si="78"/>
        <v>8252</v>
      </c>
      <c r="BI277" s="723"/>
      <c r="BJ277" s="723"/>
      <c r="BK277" s="723"/>
      <c r="BL277" s="723"/>
      <c r="BM277" s="723"/>
      <c r="BN277" s="723"/>
      <c r="BO277" s="723"/>
      <c r="BP277" s="725"/>
      <c r="BQ277" s="723"/>
      <c r="BR277" s="723"/>
      <c r="BS277" s="723"/>
      <c r="BT277" s="723"/>
      <c r="BU277" s="723"/>
      <c r="BV277" s="723"/>
      <c r="BW277" s="723"/>
      <c r="BX277" s="723"/>
      <c r="BY277" s="725"/>
      <c r="BZ277" s="723"/>
      <c r="CA277" s="723"/>
      <c r="CB277" s="516">
        <v>8251840</v>
      </c>
      <c r="CC277" s="297">
        <v>8252</v>
      </c>
      <c r="CD277" s="723"/>
    </row>
    <row r="278" spans="1:82" ht="22.5" x14ac:dyDescent="0.2">
      <c r="A278" s="703"/>
      <c r="B278" s="292" t="s">
        <v>1381</v>
      </c>
      <c r="C278" s="293" t="s">
        <v>1514</v>
      </c>
      <c r="D278" s="314"/>
      <c r="E278" s="512" t="s">
        <v>766</v>
      </c>
      <c r="F278" s="294" t="s">
        <v>1515</v>
      </c>
      <c r="G278" s="294"/>
      <c r="H278" s="294"/>
      <c r="I278" s="332"/>
      <c r="J278" s="332"/>
      <c r="K278" s="332"/>
      <c r="L278" s="296"/>
      <c r="M278" s="296"/>
      <c r="N278" s="296"/>
      <c r="O278" s="321"/>
      <c r="P278" s="296"/>
      <c r="Q278" s="296"/>
      <c r="R278" s="296"/>
      <c r="S278" s="296"/>
      <c r="T278" s="296"/>
      <c r="U278" s="296"/>
      <c r="V278" s="296"/>
      <c r="W278" s="296"/>
      <c r="X278" s="296"/>
      <c r="Y278" s="296"/>
      <c r="Z278" s="296"/>
      <c r="AA278" s="296"/>
      <c r="AB278" s="296"/>
      <c r="AC278" s="296"/>
      <c r="AD278" s="296"/>
      <c r="AE278" s="296"/>
      <c r="AF278" s="296"/>
      <c r="AG278" s="296"/>
      <c r="AH278" s="299"/>
      <c r="AI278" s="296"/>
      <c r="AJ278" s="299"/>
      <c r="AK278" s="499"/>
      <c r="AL278" s="499"/>
      <c r="AM278" s="499"/>
      <c r="AN278" s="499"/>
      <c r="AO278" s="499"/>
      <c r="AP278" s="499"/>
      <c r="AQ278" s="296"/>
      <c r="AR278" s="296"/>
      <c r="AS278" s="296"/>
      <c r="AT278" s="296"/>
      <c r="AU278" s="296"/>
      <c r="AV278" s="296"/>
      <c r="AW278" s="296"/>
      <c r="AX278" s="296"/>
      <c r="AY278" s="296"/>
      <c r="AZ278" s="296"/>
      <c r="BA278" s="296"/>
      <c r="BB278" s="296"/>
      <c r="BC278" s="499">
        <f t="shared" si="77"/>
        <v>2277</v>
      </c>
      <c r="BD278" s="499">
        <f t="shared" si="77"/>
        <v>615</v>
      </c>
      <c r="BE278" s="499">
        <f t="shared" si="77"/>
        <v>2892</v>
      </c>
      <c r="BF278" s="296">
        <v>2277</v>
      </c>
      <c r="BG278" s="296">
        <v>615</v>
      </c>
      <c r="BH278" s="296">
        <f>SUM(BF278:BG278)</f>
        <v>2892</v>
      </c>
      <c r="BI278" s="723"/>
      <c r="BJ278" s="723"/>
      <c r="BK278" s="723"/>
      <c r="BL278" s="723"/>
      <c r="BM278" s="723"/>
      <c r="BN278" s="723"/>
      <c r="BO278" s="723"/>
      <c r="BP278" s="725"/>
      <c r="BQ278" s="723"/>
      <c r="BR278" s="723"/>
      <c r="BS278" s="723"/>
      <c r="BT278" s="723"/>
      <c r="BU278" s="723"/>
      <c r="BV278" s="723"/>
      <c r="BW278" s="723"/>
      <c r="BX278" s="723"/>
      <c r="BY278" s="725"/>
      <c r="BZ278" s="723"/>
      <c r="CA278" s="723"/>
      <c r="CB278" s="516">
        <v>2277000</v>
      </c>
      <c r="CC278" s="297">
        <v>2892</v>
      </c>
      <c r="CD278" s="723"/>
    </row>
    <row r="279" spans="1:82" x14ac:dyDescent="0.2">
      <c r="A279" s="703"/>
      <c r="B279" s="292" t="s">
        <v>1381</v>
      </c>
      <c r="C279" s="329" t="s">
        <v>1516</v>
      </c>
      <c r="D279" s="314"/>
      <c r="E279" s="512" t="s">
        <v>766</v>
      </c>
      <c r="F279" s="294" t="s">
        <v>1517</v>
      </c>
      <c r="G279" s="296"/>
      <c r="H279" s="296"/>
      <c r="I279" s="296"/>
      <c r="J279" s="296"/>
      <c r="K279" s="296"/>
      <c r="L279" s="296"/>
      <c r="M279" s="296"/>
      <c r="N279" s="296"/>
      <c r="O279" s="296"/>
      <c r="P279" s="296"/>
      <c r="Q279" s="296"/>
      <c r="R279" s="296"/>
      <c r="S279" s="296"/>
      <c r="T279" s="296"/>
      <c r="U279" s="296"/>
      <c r="V279" s="296"/>
      <c r="W279" s="296"/>
      <c r="X279" s="296"/>
      <c r="Y279" s="296"/>
      <c r="Z279" s="296"/>
      <c r="AA279" s="296"/>
      <c r="AB279" s="296"/>
      <c r="AC279" s="296"/>
      <c r="AD279" s="296"/>
      <c r="AE279" s="296"/>
      <c r="AF279" s="296"/>
      <c r="AG279" s="296"/>
      <c r="AH279" s="299"/>
      <c r="AI279" s="296"/>
      <c r="AJ279" s="299"/>
      <c r="AK279" s="296"/>
      <c r="AL279" s="296"/>
      <c r="AM279" s="296"/>
      <c r="AN279" s="335"/>
      <c r="AO279" s="296"/>
      <c r="AP279" s="296"/>
      <c r="AQ279" s="296"/>
      <c r="AR279" s="296"/>
      <c r="AS279" s="296"/>
      <c r="AT279" s="296"/>
      <c r="AU279" s="296"/>
      <c r="AV279" s="296"/>
      <c r="AW279" s="296"/>
      <c r="AX279" s="296"/>
      <c r="AY279" s="296"/>
      <c r="AZ279" s="296"/>
      <c r="BA279" s="296"/>
      <c r="BB279" s="296"/>
      <c r="BC279" s="499">
        <f t="shared" si="77"/>
        <v>53</v>
      </c>
      <c r="BD279" s="499">
        <f t="shared" si="77"/>
        <v>14</v>
      </c>
      <c r="BE279" s="499">
        <f t="shared" si="77"/>
        <v>67</v>
      </c>
      <c r="BF279" s="296">
        <v>53</v>
      </c>
      <c r="BG279" s="296">
        <v>14</v>
      </c>
      <c r="BH279" s="296">
        <f>SUM(BF279:BG279)</f>
        <v>67</v>
      </c>
      <c r="BI279" s="723"/>
      <c r="BJ279" s="723"/>
      <c r="BK279" s="723"/>
      <c r="BL279" s="723"/>
      <c r="BM279" s="723"/>
      <c r="BN279" s="723"/>
      <c r="BO279" s="723"/>
      <c r="BP279" s="725"/>
      <c r="BQ279" s="723"/>
      <c r="BR279" s="723"/>
      <c r="BS279" s="723"/>
      <c r="BT279" s="723"/>
      <c r="BU279" s="723"/>
      <c r="BV279" s="723"/>
      <c r="BW279" s="723"/>
      <c r="BX279" s="723"/>
      <c r="BY279" s="725"/>
      <c r="BZ279" s="723"/>
      <c r="CA279" s="723"/>
      <c r="CB279" s="516">
        <v>52800</v>
      </c>
      <c r="CC279" s="297">
        <v>67</v>
      </c>
      <c r="CD279" s="723"/>
    </row>
    <row r="280" spans="1:82" x14ac:dyDescent="0.2">
      <c r="A280" s="703"/>
      <c r="B280" s="292" t="s">
        <v>1381</v>
      </c>
      <c r="C280" s="329" t="s">
        <v>1518</v>
      </c>
      <c r="D280" s="314" t="s">
        <v>729</v>
      </c>
      <c r="E280" s="512" t="s">
        <v>766</v>
      </c>
      <c r="F280" s="294" t="s">
        <v>1519</v>
      </c>
      <c r="G280" s="296"/>
      <c r="H280" s="296"/>
      <c r="I280" s="296"/>
      <c r="J280" s="296"/>
      <c r="K280" s="296"/>
      <c r="L280" s="296"/>
      <c r="M280" s="296"/>
      <c r="N280" s="296"/>
      <c r="O280" s="296"/>
      <c r="P280" s="296"/>
      <c r="Q280" s="296"/>
      <c r="R280" s="296"/>
      <c r="S280" s="296"/>
      <c r="T280" s="296"/>
      <c r="U280" s="296"/>
      <c r="V280" s="296"/>
      <c r="W280" s="296"/>
      <c r="X280" s="296"/>
      <c r="Y280" s="296"/>
      <c r="Z280" s="296"/>
      <c r="AA280" s="296"/>
      <c r="AB280" s="296"/>
      <c r="AC280" s="296"/>
      <c r="AD280" s="296"/>
      <c r="AE280" s="296"/>
      <c r="AF280" s="296"/>
      <c r="AG280" s="296"/>
      <c r="AH280" s="299"/>
      <c r="AI280" s="296"/>
      <c r="AJ280" s="299"/>
      <c r="AK280" s="296"/>
      <c r="AL280" s="296"/>
      <c r="AM280" s="296"/>
      <c r="AN280" s="335"/>
      <c r="AO280" s="296"/>
      <c r="AP280" s="296"/>
      <c r="AQ280" s="296"/>
      <c r="AR280" s="296"/>
      <c r="AS280" s="296"/>
      <c r="AT280" s="296"/>
      <c r="AU280" s="296"/>
      <c r="AV280" s="296"/>
      <c r="AW280" s="296"/>
      <c r="AX280" s="296"/>
      <c r="AY280" s="296"/>
      <c r="AZ280" s="296"/>
      <c r="BA280" s="296"/>
      <c r="BB280" s="296"/>
      <c r="BC280" s="499">
        <f t="shared" si="77"/>
        <v>5174</v>
      </c>
      <c r="BD280" s="499">
        <f t="shared" si="77"/>
        <v>0</v>
      </c>
      <c r="BE280" s="499">
        <f t="shared" si="77"/>
        <v>5174</v>
      </c>
      <c r="BF280" s="296">
        <v>5174</v>
      </c>
      <c r="BG280" s="296">
        <v>0</v>
      </c>
      <c r="BH280" s="296">
        <f>SUM(BF280:BG280)</f>
        <v>5174</v>
      </c>
      <c r="BI280" s="723"/>
      <c r="BJ280" s="723"/>
      <c r="BK280" s="723"/>
      <c r="BL280" s="723"/>
      <c r="BM280" s="723"/>
      <c r="BN280" s="723"/>
      <c r="BO280" s="723"/>
      <c r="BP280" s="725"/>
      <c r="BQ280" s="723"/>
      <c r="BR280" s="723"/>
      <c r="BS280" s="723"/>
      <c r="BT280" s="723"/>
      <c r="BU280" s="723"/>
      <c r="BV280" s="723"/>
      <c r="BW280" s="723"/>
      <c r="BX280" s="723"/>
      <c r="BY280" s="725"/>
      <c r="BZ280" s="723"/>
      <c r="CA280" s="723"/>
      <c r="CB280" s="516">
        <v>5174113</v>
      </c>
      <c r="CC280" s="297">
        <v>5174</v>
      </c>
      <c r="CD280" s="723"/>
    </row>
    <row r="281" spans="1:82" ht="22.5" x14ac:dyDescent="0.2">
      <c r="A281" s="703"/>
      <c r="B281" s="292" t="s">
        <v>1381</v>
      </c>
      <c r="C281" s="329" t="s">
        <v>1520</v>
      </c>
      <c r="D281" s="314"/>
      <c r="E281" s="512" t="s">
        <v>766</v>
      </c>
      <c r="F281" s="294" t="s">
        <v>1521</v>
      </c>
      <c r="G281" s="296"/>
      <c r="H281" s="296"/>
      <c r="I281" s="296"/>
      <c r="J281" s="296"/>
      <c r="K281" s="296"/>
      <c r="L281" s="296"/>
      <c r="M281" s="296"/>
      <c r="N281" s="296"/>
      <c r="O281" s="296"/>
      <c r="P281" s="296"/>
      <c r="Q281" s="296"/>
      <c r="R281" s="296"/>
      <c r="S281" s="296"/>
      <c r="T281" s="296"/>
      <c r="U281" s="296"/>
      <c r="V281" s="296"/>
      <c r="W281" s="296"/>
      <c r="X281" s="296"/>
      <c r="Y281" s="296"/>
      <c r="Z281" s="296"/>
      <c r="AA281" s="296"/>
      <c r="AB281" s="296"/>
      <c r="AC281" s="296"/>
      <c r="AD281" s="296"/>
      <c r="AE281" s="296"/>
      <c r="AF281" s="296"/>
      <c r="AG281" s="296"/>
      <c r="AH281" s="299"/>
      <c r="AI281" s="296"/>
      <c r="AJ281" s="299"/>
      <c r="AK281" s="296"/>
      <c r="AL281" s="296"/>
      <c r="AM281" s="296"/>
      <c r="AN281" s="335"/>
      <c r="AO281" s="296"/>
      <c r="AP281" s="296"/>
      <c r="AQ281" s="296"/>
      <c r="AR281" s="296"/>
      <c r="AS281" s="296"/>
      <c r="AT281" s="296"/>
      <c r="AU281" s="296"/>
      <c r="AV281" s="296"/>
      <c r="AW281" s="296"/>
      <c r="AX281" s="296"/>
      <c r="AY281" s="296"/>
      <c r="AZ281" s="296"/>
      <c r="BA281" s="296"/>
      <c r="BB281" s="296"/>
      <c r="BC281" s="499">
        <f t="shared" si="77"/>
        <v>0</v>
      </c>
      <c r="BD281" s="499">
        <f t="shared" si="77"/>
        <v>0</v>
      </c>
      <c r="BE281" s="499">
        <f t="shared" si="77"/>
        <v>0</v>
      </c>
      <c r="BF281" s="296">
        <v>0</v>
      </c>
      <c r="BG281" s="296">
        <v>0</v>
      </c>
      <c r="BH281" s="296">
        <f>SUM(BF281:BG281)</f>
        <v>0</v>
      </c>
      <c r="BI281" s="723"/>
      <c r="BJ281" s="723"/>
      <c r="BK281" s="723"/>
      <c r="BL281" s="723"/>
      <c r="BM281" s="723"/>
      <c r="BN281" s="723"/>
      <c r="BO281" s="723"/>
      <c r="BP281" s="725"/>
      <c r="BQ281" s="723"/>
      <c r="BR281" s="723"/>
      <c r="BS281" s="723"/>
      <c r="BT281" s="723"/>
      <c r="BU281" s="723"/>
      <c r="BV281" s="723"/>
      <c r="BW281" s="723"/>
      <c r="BX281" s="723"/>
      <c r="BY281" s="725"/>
      <c r="BZ281" s="723"/>
      <c r="CA281" s="723"/>
      <c r="CB281" s="516"/>
      <c r="CC281" s="297">
        <v>0</v>
      </c>
      <c r="CD281" s="723"/>
    </row>
    <row r="282" spans="1:82" ht="22.5" x14ac:dyDescent="0.2">
      <c r="A282" s="703"/>
      <c r="B282" s="292" t="s">
        <v>1381</v>
      </c>
      <c r="C282" s="329" t="s">
        <v>1522</v>
      </c>
      <c r="D282" s="314"/>
      <c r="E282" s="512" t="s">
        <v>766</v>
      </c>
      <c r="F282" s="294" t="s">
        <v>1523</v>
      </c>
      <c r="G282" s="296"/>
      <c r="H282" s="296"/>
      <c r="I282" s="296"/>
      <c r="J282" s="296"/>
      <c r="K282" s="296"/>
      <c r="L282" s="296"/>
      <c r="M282" s="296"/>
      <c r="N282" s="296"/>
      <c r="O282" s="296"/>
      <c r="P282" s="296"/>
      <c r="Q282" s="296"/>
      <c r="R282" s="296"/>
      <c r="S282" s="296"/>
      <c r="T282" s="296"/>
      <c r="U282" s="296"/>
      <c r="V282" s="296"/>
      <c r="W282" s="296"/>
      <c r="X282" s="296"/>
      <c r="Y282" s="296"/>
      <c r="Z282" s="296"/>
      <c r="AA282" s="296"/>
      <c r="AB282" s="296"/>
      <c r="AC282" s="296"/>
      <c r="AD282" s="296"/>
      <c r="AE282" s="296"/>
      <c r="AF282" s="296"/>
      <c r="AG282" s="296"/>
      <c r="AH282" s="299"/>
      <c r="AI282" s="296"/>
      <c r="AJ282" s="299"/>
      <c r="AK282" s="296"/>
      <c r="AL282" s="296"/>
      <c r="AM282" s="296"/>
      <c r="AN282" s="335"/>
      <c r="AO282" s="296"/>
      <c r="AP282" s="296"/>
      <c r="AQ282" s="296"/>
      <c r="AR282" s="296"/>
      <c r="AS282" s="296"/>
      <c r="AT282" s="296"/>
      <c r="AU282" s="296"/>
      <c r="AV282" s="296"/>
      <c r="AW282" s="296"/>
      <c r="AX282" s="296"/>
      <c r="AY282" s="296"/>
      <c r="AZ282" s="296"/>
      <c r="BA282" s="296"/>
      <c r="BB282" s="296"/>
      <c r="BC282" s="499">
        <f t="shared" si="77"/>
        <v>1063</v>
      </c>
      <c r="BD282" s="499">
        <f t="shared" si="77"/>
        <v>287</v>
      </c>
      <c r="BE282" s="499">
        <f t="shared" si="77"/>
        <v>1350</v>
      </c>
      <c r="BF282" s="296">
        <v>1063</v>
      </c>
      <c r="BG282" s="296">
        <v>287</v>
      </c>
      <c r="BH282" s="296">
        <f>SUM(BF282:BG282)</f>
        <v>1350</v>
      </c>
      <c r="BI282" s="723"/>
      <c r="BJ282" s="723"/>
      <c r="BK282" s="723"/>
      <c r="BL282" s="723"/>
      <c r="BM282" s="723"/>
      <c r="BN282" s="723"/>
      <c r="BO282" s="723"/>
      <c r="BP282" s="725"/>
      <c r="BQ282" s="723"/>
      <c r="BR282" s="723"/>
      <c r="BS282" s="723"/>
      <c r="BT282" s="723"/>
      <c r="BU282" s="723"/>
      <c r="BV282" s="723"/>
      <c r="BW282" s="723"/>
      <c r="BX282" s="723"/>
      <c r="BY282" s="725"/>
      <c r="BZ282" s="723"/>
      <c r="CA282" s="723"/>
      <c r="CB282" s="516">
        <v>1063200</v>
      </c>
      <c r="CC282" s="297">
        <v>1350</v>
      </c>
      <c r="CD282" s="723"/>
    </row>
    <row r="283" spans="1:82" x14ac:dyDescent="0.2">
      <c r="A283" s="703"/>
      <c r="B283" s="292" t="s">
        <v>1381</v>
      </c>
      <c r="C283" s="329" t="s">
        <v>1524</v>
      </c>
      <c r="D283" s="314" t="s">
        <v>729</v>
      </c>
      <c r="E283" s="512" t="s">
        <v>766</v>
      </c>
      <c r="F283" s="294" t="s">
        <v>1525</v>
      </c>
      <c r="G283" s="296"/>
      <c r="H283" s="296"/>
      <c r="I283" s="296"/>
      <c r="J283" s="296"/>
      <c r="K283" s="296"/>
      <c r="L283" s="296"/>
      <c r="M283" s="296"/>
      <c r="N283" s="296"/>
      <c r="O283" s="296"/>
      <c r="P283" s="296"/>
      <c r="Q283" s="296"/>
      <c r="R283" s="296"/>
      <c r="S283" s="296"/>
      <c r="T283" s="296"/>
      <c r="U283" s="296"/>
      <c r="V283" s="296"/>
      <c r="W283" s="296"/>
      <c r="X283" s="296"/>
      <c r="Y283" s="296"/>
      <c r="Z283" s="296"/>
      <c r="AA283" s="296"/>
      <c r="AB283" s="296"/>
      <c r="AC283" s="296"/>
      <c r="AD283" s="296"/>
      <c r="AE283" s="296"/>
      <c r="AF283" s="296"/>
      <c r="AG283" s="296"/>
      <c r="AH283" s="299"/>
      <c r="AI283" s="296"/>
      <c r="AJ283" s="299"/>
      <c r="AK283" s="296"/>
      <c r="AL283" s="296"/>
      <c r="AM283" s="296"/>
      <c r="AN283" s="335"/>
      <c r="AO283" s="296"/>
      <c r="AP283" s="296"/>
      <c r="AQ283" s="296"/>
      <c r="AR283" s="296"/>
      <c r="AS283" s="296"/>
      <c r="AT283" s="296"/>
      <c r="AU283" s="296"/>
      <c r="AV283" s="296"/>
      <c r="AW283" s="296"/>
      <c r="AX283" s="296"/>
      <c r="AY283" s="296"/>
      <c r="AZ283" s="296"/>
      <c r="BA283" s="296"/>
      <c r="BB283" s="296"/>
      <c r="BC283" s="499">
        <f t="shared" si="77"/>
        <v>8671</v>
      </c>
      <c r="BD283" s="499">
        <f t="shared" si="77"/>
        <v>0</v>
      </c>
      <c r="BE283" s="499">
        <f t="shared" si="77"/>
        <v>8671</v>
      </c>
      <c r="BF283" s="296">
        <v>8671</v>
      </c>
      <c r="BG283" s="296">
        <v>0</v>
      </c>
      <c r="BH283" s="296">
        <f t="shared" ref="BH283:BH288" si="79">SUM(BF283:BG283)</f>
        <v>8671</v>
      </c>
      <c r="BI283" s="723"/>
      <c r="BJ283" s="723"/>
      <c r="BK283" s="723"/>
      <c r="BL283" s="723"/>
      <c r="BM283" s="723"/>
      <c r="BN283" s="723"/>
      <c r="BO283" s="723"/>
      <c r="BP283" s="725"/>
      <c r="BQ283" s="723"/>
      <c r="BR283" s="723"/>
      <c r="BS283" s="723"/>
      <c r="BT283" s="723"/>
      <c r="BU283" s="723"/>
      <c r="BV283" s="723"/>
      <c r="BW283" s="723"/>
      <c r="BX283" s="723"/>
      <c r="BY283" s="725"/>
      <c r="BZ283" s="723"/>
      <c r="CA283" s="723"/>
      <c r="CB283" s="516">
        <v>8671800</v>
      </c>
      <c r="CC283" s="297">
        <v>8672</v>
      </c>
      <c r="CD283" s="723"/>
    </row>
    <row r="284" spans="1:82" x14ac:dyDescent="0.2">
      <c r="A284" s="703"/>
      <c r="B284" s="292" t="s">
        <v>1381</v>
      </c>
      <c r="C284" s="329" t="s">
        <v>1526</v>
      </c>
      <c r="D284" s="314" t="s">
        <v>729</v>
      </c>
      <c r="E284" s="512" t="s">
        <v>766</v>
      </c>
      <c r="F284" s="294" t="s">
        <v>1527</v>
      </c>
      <c r="G284" s="296"/>
      <c r="H284" s="296"/>
      <c r="I284" s="296"/>
      <c r="J284" s="296"/>
      <c r="K284" s="296"/>
      <c r="L284" s="296"/>
      <c r="M284" s="296"/>
      <c r="N284" s="296"/>
      <c r="O284" s="296"/>
      <c r="P284" s="296"/>
      <c r="Q284" s="296"/>
      <c r="R284" s="296"/>
      <c r="S284" s="296"/>
      <c r="T284" s="296"/>
      <c r="U284" s="296"/>
      <c r="V284" s="296"/>
      <c r="W284" s="296"/>
      <c r="X284" s="296"/>
      <c r="Y284" s="296"/>
      <c r="Z284" s="296"/>
      <c r="AA284" s="296"/>
      <c r="AB284" s="296"/>
      <c r="AC284" s="296"/>
      <c r="AD284" s="296"/>
      <c r="AE284" s="296"/>
      <c r="AF284" s="296"/>
      <c r="AG284" s="296"/>
      <c r="AH284" s="299"/>
      <c r="AI284" s="296"/>
      <c r="AJ284" s="299"/>
      <c r="AK284" s="296"/>
      <c r="AL284" s="296"/>
      <c r="AM284" s="296"/>
      <c r="AN284" s="335"/>
      <c r="AO284" s="296"/>
      <c r="AP284" s="296"/>
      <c r="AQ284" s="296"/>
      <c r="AR284" s="296"/>
      <c r="AS284" s="296"/>
      <c r="AT284" s="296"/>
      <c r="AU284" s="296"/>
      <c r="AV284" s="296"/>
      <c r="AW284" s="296"/>
      <c r="AX284" s="296"/>
      <c r="AY284" s="296"/>
      <c r="AZ284" s="296"/>
      <c r="BA284" s="296"/>
      <c r="BB284" s="296"/>
      <c r="BC284" s="499">
        <f t="shared" si="77"/>
        <v>5323</v>
      </c>
      <c r="BD284" s="499">
        <f t="shared" si="77"/>
        <v>0</v>
      </c>
      <c r="BE284" s="499">
        <f t="shared" si="77"/>
        <v>5323</v>
      </c>
      <c r="BF284" s="296">
        <v>5323</v>
      </c>
      <c r="BG284" s="296">
        <v>0</v>
      </c>
      <c r="BH284" s="296">
        <f t="shared" si="79"/>
        <v>5323</v>
      </c>
      <c r="BI284" s="723"/>
      <c r="BJ284" s="723"/>
      <c r="BK284" s="723"/>
      <c r="BL284" s="723"/>
      <c r="BM284" s="723"/>
      <c r="BN284" s="723"/>
      <c r="BO284" s="723"/>
      <c r="BP284" s="725"/>
      <c r="BQ284" s="723"/>
      <c r="BR284" s="723"/>
      <c r="BS284" s="723"/>
      <c r="BT284" s="723"/>
      <c r="BU284" s="723"/>
      <c r="BV284" s="723"/>
      <c r="BW284" s="723"/>
      <c r="BX284" s="723"/>
      <c r="BY284" s="725"/>
      <c r="BZ284" s="723"/>
      <c r="CA284" s="723"/>
      <c r="CB284" s="516">
        <v>5322900</v>
      </c>
      <c r="CC284" s="297">
        <v>5323</v>
      </c>
      <c r="CD284" s="723"/>
    </row>
    <row r="285" spans="1:82" ht="22.5" x14ac:dyDescent="0.2">
      <c r="A285" s="703"/>
      <c r="B285" s="292" t="s">
        <v>1381</v>
      </c>
      <c r="C285" s="329" t="s">
        <v>1528</v>
      </c>
      <c r="D285" s="314"/>
      <c r="E285" s="512" t="s">
        <v>766</v>
      </c>
      <c r="F285" s="294" t="s">
        <v>1529</v>
      </c>
      <c r="G285" s="296"/>
      <c r="H285" s="296"/>
      <c r="I285" s="296"/>
      <c r="J285" s="296"/>
      <c r="K285" s="296"/>
      <c r="L285" s="296"/>
      <c r="M285" s="296"/>
      <c r="N285" s="296"/>
      <c r="O285" s="296"/>
      <c r="P285" s="296"/>
      <c r="Q285" s="296"/>
      <c r="R285" s="296"/>
      <c r="S285" s="296"/>
      <c r="T285" s="296"/>
      <c r="U285" s="296"/>
      <c r="V285" s="296"/>
      <c r="W285" s="296"/>
      <c r="X285" s="296"/>
      <c r="Y285" s="296"/>
      <c r="Z285" s="296"/>
      <c r="AA285" s="296"/>
      <c r="AB285" s="296"/>
      <c r="AC285" s="296"/>
      <c r="AD285" s="296"/>
      <c r="AE285" s="296"/>
      <c r="AF285" s="296"/>
      <c r="AG285" s="296"/>
      <c r="AH285" s="299"/>
      <c r="AI285" s="296"/>
      <c r="AJ285" s="299"/>
      <c r="AK285" s="296"/>
      <c r="AL285" s="296"/>
      <c r="AM285" s="296"/>
      <c r="AN285" s="335"/>
      <c r="AO285" s="296"/>
      <c r="AP285" s="296"/>
      <c r="AQ285" s="296"/>
      <c r="AR285" s="296"/>
      <c r="AS285" s="296"/>
      <c r="AT285" s="296"/>
      <c r="AU285" s="296"/>
      <c r="AV285" s="296"/>
      <c r="AW285" s="296"/>
      <c r="AX285" s="296"/>
      <c r="AY285" s="296"/>
      <c r="AZ285" s="296"/>
      <c r="BA285" s="296"/>
      <c r="BB285" s="296"/>
      <c r="BC285" s="499">
        <f t="shared" si="77"/>
        <v>1171</v>
      </c>
      <c r="BD285" s="499">
        <f t="shared" si="77"/>
        <v>316</v>
      </c>
      <c r="BE285" s="499">
        <f t="shared" si="77"/>
        <v>1487</v>
      </c>
      <c r="BF285" s="296">
        <v>1171</v>
      </c>
      <c r="BG285" s="296">
        <v>316</v>
      </c>
      <c r="BH285" s="296">
        <f t="shared" si="79"/>
        <v>1487</v>
      </c>
      <c r="BI285" s="723"/>
      <c r="BJ285" s="723"/>
      <c r="BK285" s="723"/>
      <c r="BL285" s="723"/>
      <c r="BM285" s="723"/>
      <c r="BN285" s="723"/>
      <c r="BO285" s="723"/>
      <c r="BP285" s="725"/>
      <c r="BQ285" s="723"/>
      <c r="BR285" s="723"/>
      <c r="BS285" s="723"/>
      <c r="BT285" s="723"/>
      <c r="BU285" s="723"/>
      <c r="BV285" s="723"/>
      <c r="BW285" s="723"/>
      <c r="BX285" s="723"/>
      <c r="BY285" s="725"/>
      <c r="BZ285" s="723"/>
      <c r="CA285" s="723"/>
      <c r="CB285" s="516">
        <v>1171200</v>
      </c>
      <c r="CC285" s="297">
        <v>1487</v>
      </c>
      <c r="CD285" s="723"/>
    </row>
    <row r="286" spans="1:82" x14ac:dyDescent="0.2">
      <c r="A286" s="703"/>
      <c r="B286" s="292" t="s">
        <v>1381</v>
      </c>
      <c r="C286" s="329" t="s">
        <v>1530</v>
      </c>
      <c r="D286" s="314" t="s">
        <v>729</v>
      </c>
      <c r="E286" s="512" t="s">
        <v>766</v>
      </c>
      <c r="F286" s="294" t="s">
        <v>1531</v>
      </c>
      <c r="G286" s="296"/>
      <c r="H286" s="296"/>
      <c r="I286" s="296"/>
      <c r="J286" s="296"/>
      <c r="K286" s="296"/>
      <c r="L286" s="296"/>
      <c r="M286" s="296"/>
      <c r="N286" s="296"/>
      <c r="O286" s="296"/>
      <c r="P286" s="296"/>
      <c r="Q286" s="296"/>
      <c r="R286" s="296"/>
      <c r="S286" s="296"/>
      <c r="T286" s="296"/>
      <c r="U286" s="296"/>
      <c r="V286" s="296"/>
      <c r="W286" s="296"/>
      <c r="X286" s="296"/>
      <c r="Y286" s="296"/>
      <c r="Z286" s="296"/>
      <c r="AA286" s="296"/>
      <c r="AB286" s="296"/>
      <c r="AC286" s="296"/>
      <c r="AD286" s="296"/>
      <c r="AE286" s="296"/>
      <c r="AF286" s="296"/>
      <c r="AG286" s="296"/>
      <c r="AH286" s="299"/>
      <c r="AI286" s="296"/>
      <c r="AJ286" s="299"/>
      <c r="AK286" s="296"/>
      <c r="AL286" s="296"/>
      <c r="AM286" s="296"/>
      <c r="AN286" s="335"/>
      <c r="AO286" s="296"/>
      <c r="AP286" s="296"/>
      <c r="AQ286" s="296"/>
      <c r="AR286" s="296"/>
      <c r="AS286" s="296"/>
      <c r="AT286" s="296"/>
      <c r="AU286" s="296"/>
      <c r="AV286" s="296"/>
      <c r="AW286" s="296"/>
      <c r="AX286" s="296"/>
      <c r="AY286" s="296"/>
      <c r="AZ286" s="296"/>
      <c r="BA286" s="296"/>
      <c r="BB286" s="296"/>
      <c r="BC286" s="499">
        <f t="shared" si="77"/>
        <v>8910</v>
      </c>
      <c r="BD286" s="499">
        <f t="shared" si="77"/>
        <v>0</v>
      </c>
      <c r="BE286" s="499">
        <f t="shared" si="77"/>
        <v>8910</v>
      </c>
      <c r="BF286" s="296">
        <v>8910</v>
      </c>
      <c r="BG286" s="296">
        <v>0</v>
      </c>
      <c r="BH286" s="296">
        <f t="shared" si="79"/>
        <v>8910</v>
      </c>
      <c r="BI286" s="723"/>
      <c r="BJ286" s="723"/>
      <c r="BK286" s="723"/>
      <c r="BL286" s="723"/>
      <c r="BM286" s="723"/>
      <c r="BN286" s="723"/>
      <c r="BO286" s="723"/>
      <c r="BP286" s="725"/>
      <c r="BQ286" s="723"/>
      <c r="BR286" s="723"/>
      <c r="BS286" s="723"/>
      <c r="BT286" s="723"/>
      <c r="BU286" s="723"/>
      <c r="BV286" s="723"/>
      <c r="BW286" s="723"/>
      <c r="BX286" s="723"/>
      <c r="BY286" s="725"/>
      <c r="BZ286" s="723"/>
      <c r="CA286" s="723"/>
      <c r="CB286" s="516">
        <v>8910000</v>
      </c>
      <c r="CC286" s="297">
        <v>8910</v>
      </c>
      <c r="CD286" s="723"/>
    </row>
    <row r="287" spans="1:82" x14ac:dyDescent="0.2">
      <c r="A287" s="703"/>
      <c r="B287" s="292" t="s">
        <v>1381</v>
      </c>
      <c r="C287" s="329" t="s">
        <v>1532</v>
      </c>
      <c r="D287" s="314"/>
      <c r="E287" s="512" t="s">
        <v>766</v>
      </c>
      <c r="F287" s="294" t="s">
        <v>1533</v>
      </c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6"/>
      <c r="W287" s="296"/>
      <c r="X287" s="296"/>
      <c r="Y287" s="296"/>
      <c r="Z287" s="296"/>
      <c r="AA287" s="296"/>
      <c r="AB287" s="296"/>
      <c r="AC287" s="296"/>
      <c r="AD287" s="296"/>
      <c r="AE287" s="296"/>
      <c r="AF287" s="296"/>
      <c r="AG287" s="296"/>
      <c r="AH287" s="299"/>
      <c r="AI287" s="296"/>
      <c r="AJ287" s="299"/>
      <c r="AK287" s="296"/>
      <c r="AL287" s="296"/>
      <c r="AM287" s="296"/>
      <c r="AN287" s="335"/>
      <c r="AO287" s="296"/>
      <c r="AP287" s="296"/>
      <c r="AQ287" s="296"/>
      <c r="AR287" s="296"/>
      <c r="AS287" s="296"/>
      <c r="AT287" s="296"/>
      <c r="AU287" s="296"/>
      <c r="AV287" s="296"/>
      <c r="AW287" s="296"/>
      <c r="AX287" s="296"/>
      <c r="AY287" s="296"/>
      <c r="AZ287" s="296"/>
      <c r="BA287" s="296"/>
      <c r="BB287" s="296"/>
      <c r="BC287" s="499">
        <f t="shared" si="77"/>
        <v>6370</v>
      </c>
      <c r="BD287" s="499">
        <f t="shared" si="77"/>
        <v>1720</v>
      </c>
      <c r="BE287" s="499">
        <f t="shared" si="77"/>
        <v>8090</v>
      </c>
      <c r="BF287" s="296">
        <v>6370</v>
      </c>
      <c r="BG287" s="296">
        <v>1720</v>
      </c>
      <c r="BH287" s="296">
        <f t="shared" si="79"/>
        <v>8090</v>
      </c>
      <c r="BI287" s="723"/>
      <c r="BJ287" s="723"/>
      <c r="BK287" s="723"/>
      <c r="BL287" s="723"/>
      <c r="BM287" s="723"/>
      <c r="BN287" s="723"/>
      <c r="BO287" s="723"/>
      <c r="BP287" s="725"/>
      <c r="BQ287" s="723"/>
      <c r="BR287" s="723"/>
      <c r="BS287" s="723"/>
      <c r="BT287" s="723"/>
      <c r="BU287" s="723"/>
      <c r="BV287" s="723"/>
      <c r="BW287" s="723"/>
      <c r="BX287" s="723"/>
      <c r="BY287" s="725"/>
      <c r="BZ287" s="723"/>
      <c r="CA287" s="723"/>
      <c r="CB287" s="516">
        <v>6369800</v>
      </c>
      <c r="CC287" s="297">
        <v>8090</v>
      </c>
      <c r="CD287" s="723"/>
    </row>
    <row r="288" spans="1:82" x14ac:dyDescent="0.2">
      <c r="A288" s="703"/>
      <c r="B288" s="292" t="s">
        <v>1381</v>
      </c>
      <c r="C288" s="329" t="s">
        <v>1534</v>
      </c>
      <c r="D288" s="314"/>
      <c r="E288" s="512" t="s">
        <v>766</v>
      </c>
      <c r="F288" s="294" t="s">
        <v>1535</v>
      </c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6"/>
      <c r="W288" s="296"/>
      <c r="X288" s="296"/>
      <c r="Y288" s="296"/>
      <c r="Z288" s="296"/>
      <c r="AA288" s="296"/>
      <c r="AB288" s="296"/>
      <c r="AC288" s="296"/>
      <c r="AD288" s="296"/>
      <c r="AE288" s="296"/>
      <c r="AF288" s="296"/>
      <c r="AG288" s="296"/>
      <c r="AH288" s="299"/>
      <c r="AI288" s="296"/>
      <c r="AJ288" s="299"/>
      <c r="AK288" s="296"/>
      <c r="AL288" s="296"/>
      <c r="AM288" s="296"/>
      <c r="AN288" s="335"/>
      <c r="AO288" s="296"/>
      <c r="AP288" s="296"/>
      <c r="AQ288" s="296"/>
      <c r="AR288" s="296"/>
      <c r="AS288" s="296"/>
      <c r="AT288" s="296"/>
      <c r="AU288" s="296"/>
      <c r="AV288" s="296"/>
      <c r="AW288" s="296"/>
      <c r="AX288" s="296"/>
      <c r="AY288" s="296"/>
      <c r="AZ288" s="296"/>
      <c r="BA288" s="296"/>
      <c r="BB288" s="296"/>
      <c r="BC288" s="499">
        <f t="shared" si="77"/>
        <v>1028</v>
      </c>
      <c r="BD288" s="499">
        <f t="shared" si="77"/>
        <v>277</v>
      </c>
      <c r="BE288" s="499">
        <f t="shared" si="77"/>
        <v>1305</v>
      </c>
      <c r="BF288" s="296">
        <v>1028</v>
      </c>
      <c r="BG288" s="296">
        <v>277</v>
      </c>
      <c r="BH288" s="296">
        <f t="shared" si="79"/>
        <v>1305</v>
      </c>
      <c r="BI288" s="723"/>
      <c r="BJ288" s="723"/>
      <c r="BK288" s="723"/>
      <c r="BL288" s="723"/>
      <c r="BM288" s="723"/>
      <c r="BN288" s="723"/>
      <c r="BO288" s="723"/>
      <c r="BP288" s="725"/>
      <c r="BQ288" s="723"/>
      <c r="BR288" s="723"/>
      <c r="BS288" s="723"/>
      <c r="BT288" s="723"/>
      <c r="BU288" s="723"/>
      <c r="BV288" s="723"/>
      <c r="BW288" s="723"/>
      <c r="BX288" s="723"/>
      <c r="BY288" s="725"/>
      <c r="BZ288" s="723"/>
      <c r="CA288" s="723"/>
      <c r="CB288" s="516">
        <v>1028550</v>
      </c>
      <c r="CC288" s="297">
        <v>1306</v>
      </c>
      <c r="CD288" s="723"/>
    </row>
    <row r="289" spans="1:82" ht="22.5" x14ac:dyDescent="0.2">
      <c r="A289" s="703"/>
      <c r="B289" s="292" t="s">
        <v>1381</v>
      </c>
      <c r="C289" s="329" t="s">
        <v>901</v>
      </c>
      <c r="D289" s="314"/>
      <c r="E289" s="512" t="s">
        <v>900</v>
      </c>
      <c r="F289" s="334" t="s">
        <v>1536</v>
      </c>
      <c r="G289" s="296"/>
      <c r="H289" s="296"/>
      <c r="I289" s="296"/>
      <c r="J289" s="296"/>
      <c r="K289" s="296"/>
      <c r="L289" s="296"/>
      <c r="M289" s="296"/>
      <c r="N289" s="296"/>
      <c r="O289" s="296"/>
      <c r="P289" s="296"/>
      <c r="Q289" s="296"/>
      <c r="R289" s="296"/>
      <c r="S289" s="296"/>
      <c r="T289" s="296"/>
      <c r="U289" s="296"/>
      <c r="V289" s="296"/>
      <c r="W289" s="296"/>
      <c r="X289" s="296"/>
      <c r="Y289" s="296"/>
      <c r="Z289" s="296"/>
      <c r="AA289" s="296"/>
      <c r="AB289" s="296"/>
      <c r="AC289" s="296"/>
      <c r="AD289" s="296"/>
      <c r="AE289" s="296"/>
      <c r="AF289" s="296"/>
      <c r="AG289" s="296"/>
      <c r="AH289" s="299">
        <v>814</v>
      </c>
      <c r="AI289" s="296">
        <v>220</v>
      </c>
      <c r="AJ289" s="299">
        <f>SUM(AH289:AI289)</f>
        <v>1034</v>
      </c>
      <c r="AK289" s="296">
        <f t="shared" si="76"/>
        <v>0</v>
      </c>
      <c r="AL289" s="296">
        <f t="shared" si="71"/>
        <v>0</v>
      </c>
      <c r="AM289" s="296">
        <f t="shared" si="71"/>
        <v>0</v>
      </c>
      <c r="AN289" s="299">
        <v>814</v>
      </c>
      <c r="AO289" s="296">
        <v>220</v>
      </c>
      <c r="AP289" s="299">
        <f t="shared" si="68"/>
        <v>1034</v>
      </c>
      <c r="AQ289" s="296">
        <f t="shared" si="75"/>
        <v>0</v>
      </c>
      <c r="AR289" s="296">
        <f t="shared" si="72"/>
        <v>0</v>
      </c>
      <c r="AS289" s="296">
        <f t="shared" si="72"/>
        <v>0</v>
      </c>
      <c r="AT289" s="296">
        <v>814</v>
      </c>
      <c r="AU289" s="296">
        <v>220</v>
      </c>
      <c r="AV289" s="296">
        <f t="shared" si="69"/>
        <v>1034</v>
      </c>
      <c r="AW289" s="296"/>
      <c r="AX289" s="296"/>
      <c r="AY289" s="296"/>
      <c r="AZ289" s="296">
        <v>814</v>
      </c>
      <c r="BA289" s="296">
        <v>220</v>
      </c>
      <c r="BB289" s="296">
        <v>1034</v>
      </c>
      <c r="BC289" s="499">
        <f t="shared" ref="BC289:BE319" si="80">BF289-AT289</f>
        <v>-814</v>
      </c>
      <c r="BD289" s="499">
        <f t="shared" si="80"/>
        <v>-220</v>
      </c>
      <c r="BE289" s="499">
        <f t="shared" si="80"/>
        <v>-1034</v>
      </c>
      <c r="BF289" s="296">
        <v>0</v>
      </c>
      <c r="BG289" s="296">
        <v>0</v>
      </c>
      <c r="BH289" s="296">
        <f>SUM(BF289:BG289)</f>
        <v>0</v>
      </c>
      <c r="BI289" s="723"/>
      <c r="BJ289" s="723"/>
      <c r="BK289" s="723"/>
      <c r="BL289" s="723"/>
      <c r="BM289" s="723"/>
      <c r="BN289" s="723"/>
      <c r="BO289" s="723"/>
      <c r="BP289" s="725"/>
      <c r="BQ289" s="723"/>
      <c r="BR289" s="723"/>
      <c r="BS289" s="723"/>
      <c r="BT289" s="723"/>
      <c r="BU289" s="723"/>
      <c r="BV289" s="723"/>
      <c r="BW289" s="723"/>
      <c r="BX289" s="723"/>
      <c r="BY289" s="725"/>
      <c r="BZ289" s="723"/>
      <c r="CA289" s="723"/>
      <c r="CB289" s="516"/>
      <c r="CC289" s="297">
        <v>0</v>
      </c>
      <c r="CD289" s="723"/>
    </row>
    <row r="290" spans="1:82" ht="22.5" x14ac:dyDescent="0.2">
      <c r="A290" s="703"/>
      <c r="B290" s="292" t="s">
        <v>1381</v>
      </c>
      <c r="C290" s="293" t="s">
        <v>1143</v>
      </c>
      <c r="D290" s="314"/>
      <c r="E290" s="512" t="s">
        <v>900</v>
      </c>
      <c r="F290" s="334" t="s">
        <v>1537</v>
      </c>
      <c r="G290" s="516"/>
      <c r="H290" s="516"/>
      <c r="I290" s="516"/>
      <c r="J290" s="516"/>
      <c r="K290" s="516"/>
      <c r="L290" s="516"/>
      <c r="M290" s="296"/>
      <c r="N290" s="296"/>
      <c r="O290" s="296"/>
      <c r="P290" s="296"/>
      <c r="Q290" s="296"/>
      <c r="R290" s="296"/>
      <c r="S290" s="296"/>
      <c r="T290" s="296"/>
      <c r="U290" s="296"/>
      <c r="V290" s="296"/>
      <c r="W290" s="296"/>
      <c r="X290" s="296"/>
      <c r="Y290" s="296"/>
      <c r="Z290" s="296"/>
      <c r="AA290" s="296"/>
      <c r="AB290" s="296"/>
      <c r="AC290" s="296"/>
      <c r="AD290" s="296"/>
      <c r="AE290" s="296"/>
      <c r="AF290" s="296"/>
      <c r="AG290" s="296"/>
      <c r="AH290" s="299">
        <v>7874</v>
      </c>
      <c r="AI290" s="296">
        <v>2126</v>
      </c>
      <c r="AJ290" s="299">
        <f>SUM(AH290:AI290)</f>
        <v>10000</v>
      </c>
      <c r="AK290" s="296">
        <f t="shared" si="76"/>
        <v>-345</v>
      </c>
      <c r="AL290" s="296">
        <f t="shared" si="71"/>
        <v>-35</v>
      </c>
      <c r="AM290" s="296">
        <f t="shared" si="71"/>
        <v>-380</v>
      </c>
      <c r="AN290" s="296">
        <f>AH290-SUM(AN291:AN297)</f>
        <v>7529</v>
      </c>
      <c r="AO290" s="296">
        <f>AI290-SUM(AO291:AO297)</f>
        <v>2091</v>
      </c>
      <c r="AP290" s="296">
        <f>AJ290-SUM(AP291:AP297)</f>
        <v>9620</v>
      </c>
      <c r="AQ290" s="296">
        <f t="shared" si="75"/>
        <v>0</v>
      </c>
      <c r="AR290" s="296">
        <f t="shared" si="72"/>
        <v>0</v>
      </c>
      <c r="AS290" s="296">
        <f t="shared" si="72"/>
        <v>0</v>
      </c>
      <c r="AT290" s="296">
        <f>AN290-SUM(AQ291:AQ297)</f>
        <v>7529</v>
      </c>
      <c r="AU290" s="296">
        <f>AO290-SUM(AR291:AR297)</f>
        <v>2091</v>
      </c>
      <c r="AV290" s="296">
        <f>AP290-SUM(AS291:AS297)</f>
        <v>9620</v>
      </c>
      <c r="AW290" s="296"/>
      <c r="AX290" s="296"/>
      <c r="AY290" s="296"/>
      <c r="AZ290" s="296">
        <v>7529</v>
      </c>
      <c r="BA290" s="296">
        <v>2091</v>
      </c>
      <c r="BB290" s="296">
        <v>9620</v>
      </c>
      <c r="BC290" s="499">
        <f t="shared" si="80"/>
        <v>-7529</v>
      </c>
      <c r="BD290" s="499">
        <f t="shared" si="80"/>
        <v>-2091</v>
      </c>
      <c r="BE290" s="499">
        <f t="shared" si="80"/>
        <v>-9620</v>
      </c>
      <c r="BF290" s="296">
        <v>0</v>
      </c>
      <c r="BG290" s="296">
        <v>0</v>
      </c>
      <c r="BH290" s="296">
        <f>SUBTOTAL(9,BF290:BG290)</f>
        <v>0</v>
      </c>
      <c r="BI290" s="723"/>
      <c r="BJ290" s="723"/>
      <c r="BK290" s="723"/>
      <c r="BL290" s="723"/>
      <c r="BM290" s="723"/>
      <c r="BN290" s="723"/>
      <c r="BO290" s="723"/>
      <c r="BP290" s="725"/>
      <c r="BQ290" s="723"/>
      <c r="BR290" s="723"/>
      <c r="BS290" s="723"/>
      <c r="BT290" s="723"/>
      <c r="BU290" s="723"/>
      <c r="BV290" s="723"/>
      <c r="BW290" s="723"/>
      <c r="BX290" s="723"/>
      <c r="BY290" s="725"/>
      <c r="BZ290" s="723"/>
      <c r="CA290" s="723"/>
      <c r="CB290" s="516">
        <v>0</v>
      </c>
      <c r="CC290" s="297">
        <v>0</v>
      </c>
      <c r="CD290" s="723"/>
    </row>
    <row r="291" spans="1:82" ht="22.5" x14ac:dyDescent="0.2">
      <c r="A291" s="703"/>
      <c r="B291" s="292" t="s">
        <v>1381</v>
      </c>
      <c r="C291" s="329" t="s">
        <v>902</v>
      </c>
      <c r="D291" s="314" t="s">
        <v>641</v>
      </c>
      <c r="E291" s="512" t="s">
        <v>900</v>
      </c>
      <c r="F291" s="334" t="s">
        <v>903</v>
      </c>
      <c r="G291" s="516"/>
      <c r="H291" s="516"/>
      <c r="I291" s="516"/>
      <c r="J291" s="516"/>
      <c r="K291" s="516"/>
      <c r="L291" s="516"/>
      <c r="M291" s="296"/>
      <c r="N291" s="296"/>
      <c r="O291" s="296"/>
      <c r="P291" s="296"/>
      <c r="Q291" s="296"/>
      <c r="R291" s="296"/>
      <c r="S291" s="296"/>
      <c r="T291" s="296"/>
      <c r="U291" s="296"/>
      <c r="V291" s="296"/>
      <c r="W291" s="296"/>
      <c r="X291" s="296"/>
      <c r="Y291" s="296"/>
      <c r="Z291" s="296"/>
      <c r="AA291" s="296"/>
      <c r="AB291" s="296"/>
      <c r="AC291" s="296"/>
      <c r="AD291" s="296"/>
      <c r="AE291" s="296"/>
      <c r="AF291" s="296"/>
      <c r="AG291" s="296"/>
      <c r="AH291" s="299"/>
      <c r="AI291" s="296"/>
      <c r="AJ291" s="299"/>
      <c r="AK291" s="299">
        <f t="shared" si="76"/>
        <v>94</v>
      </c>
      <c r="AL291" s="299">
        <f t="shared" si="71"/>
        <v>0</v>
      </c>
      <c r="AM291" s="299">
        <f t="shared" si="71"/>
        <v>94</v>
      </c>
      <c r="AN291" s="299">
        <v>94</v>
      </c>
      <c r="AO291" s="299">
        <v>0</v>
      </c>
      <c r="AP291" s="499">
        <f t="shared" ref="AP291:AP303" si="81">SUM(AN291:AO291)</f>
        <v>94</v>
      </c>
      <c r="AQ291" s="296">
        <f t="shared" si="75"/>
        <v>0</v>
      </c>
      <c r="AR291" s="296">
        <f t="shared" si="72"/>
        <v>0</v>
      </c>
      <c r="AS291" s="296">
        <f t="shared" si="72"/>
        <v>0</v>
      </c>
      <c r="AT291" s="296">
        <v>94</v>
      </c>
      <c r="AU291" s="296">
        <v>0</v>
      </c>
      <c r="AV291" s="296">
        <f t="shared" ref="AV291:AV300" si="82">SUM(AT291:AU291)</f>
        <v>94</v>
      </c>
      <c r="AW291" s="296"/>
      <c r="AX291" s="296"/>
      <c r="AY291" s="296"/>
      <c r="AZ291" s="296">
        <v>94</v>
      </c>
      <c r="BA291" s="296">
        <v>0</v>
      </c>
      <c r="BB291" s="296">
        <v>94</v>
      </c>
      <c r="BC291" s="499">
        <f t="shared" si="80"/>
        <v>0</v>
      </c>
      <c r="BD291" s="499">
        <f t="shared" si="80"/>
        <v>0</v>
      </c>
      <c r="BE291" s="499">
        <f t="shared" si="80"/>
        <v>0</v>
      </c>
      <c r="BF291" s="296">
        <v>94</v>
      </c>
      <c r="BG291" s="296">
        <v>0</v>
      </c>
      <c r="BH291" s="296">
        <v>94</v>
      </c>
      <c r="BI291" s="723"/>
      <c r="BJ291" s="723"/>
      <c r="BK291" s="723"/>
      <c r="BL291" s="723"/>
      <c r="BM291" s="723"/>
      <c r="BN291" s="723"/>
      <c r="BO291" s="723"/>
      <c r="BP291" s="725"/>
      <c r="BQ291" s="723"/>
      <c r="BR291" s="723"/>
      <c r="BS291" s="723"/>
      <c r="BT291" s="723"/>
      <c r="BU291" s="723"/>
      <c r="BV291" s="723"/>
      <c r="BW291" s="723"/>
      <c r="BX291" s="723"/>
      <c r="BY291" s="725"/>
      <c r="BZ291" s="723"/>
      <c r="CA291" s="723"/>
      <c r="CB291" s="516">
        <v>94200</v>
      </c>
      <c r="CC291" s="297">
        <v>94</v>
      </c>
      <c r="CD291" s="723"/>
    </row>
    <row r="292" spans="1:82" ht="22.5" x14ac:dyDescent="0.2">
      <c r="A292" s="703"/>
      <c r="B292" s="292" t="s">
        <v>1381</v>
      </c>
      <c r="C292" s="329" t="s">
        <v>904</v>
      </c>
      <c r="D292" s="314"/>
      <c r="E292" s="512" t="s">
        <v>900</v>
      </c>
      <c r="F292" s="334" t="s">
        <v>905</v>
      </c>
      <c r="G292" s="516"/>
      <c r="H292" s="516"/>
      <c r="I292" s="516"/>
      <c r="J292" s="516"/>
      <c r="K292" s="516"/>
      <c r="L292" s="516"/>
      <c r="M292" s="296"/>
      <c r="N292" s="296"/>
      <c r="O292" s="296"/>
      <c r="P292" s="296"/>
      <c r="Q292" s="296"/>
      <c r="R292" s="296"/>
      <c r="S292" s="296"/>
      <c r="T292" s="296"/>
      <c r="U292" s="296"/>
      <c r="V292" s="296"/>
      <c r="W292" s="296"/>
      <c r="X292" s="296"/>
      <c r="Y292" s="296"/>
      <c r="Z292" s="296"/>
      <c r="AA292" s="296"/>
      <c r="AB292" s="296"/>
      <c r="AC292" s="296"/>
      <c r="AD292" s="296"/>
      <c r="AE292" s="296"/>
      <c r="AF292" s="296"/>
      <c r="AG292" s="296"/>
      <c r="AH292" s="299"/>
      <c r="AI292" s="296"/>
      <c r="AJ292" s="299"/>
      <c r="AK292" s="299">
        <f t="shared" si="76"/>
        <v>122</v>
      </c>
      <c r="AL292" s="299">
        <f t="shared" si="71"/>
        <v>0</v>
      </c>
      <c r="AM292" s="299">
        <f t="shared" si="71"/>
        <v>122</v>
      </c>
      <c r="AN292" s="299">
        <v>122</v>
      </c>
      <c r="AO292" s="299">
        <v>0</v>
      </c>
      <c r="AP292" s="499">
        <f t="shared" si="81"/>
        <v>122</v>
      </c>
      <c r="AQ292" s="296">
        <f t="shared" si="75"/>
        <v>0</v>
      </c>
      <c r="AR292" s="296">
        <f t="shared" si="72"/>
        <v>0</v>
      </c>
      <c r="AS292" s="296">
        <f t="shared" si="72"/>
        <v>0</v>
      </c>
      <c r="AT292" s="296">
        <v>122</v>
      </c>
      <c r="AU292" s="296">
        <v>0</v>
      </c>
      <c r="AV292" s="296">
        <f t="shared" si="82"/>
        <v>122</v>
      </c>
      <c r="AW292" s="296"/>
      <c r="AX292" s="296"/>
      <c r="AY292" s="296"/>
      <c r="AZ292" s="296">
        <v>122</v>
      </c>
      <c r="BA292" s="296">
        <v>0</v>
      </c>
      <c r="BB292" s="296">
        <v>122</v>
      </c>
      <c r="BC292" s="499">
        <f t="shared" si="80"/>
        <v>0</v>
      </c>
      <c r="BD292" s="499">
        <f t="shared" si="80"/>
        <v>0</v>
      </c>
      <c r="BE292" s="499">
        <f t="shared" si="80"/>
        <v>0</v>
      </c>
      <c r="BF292" s="296">
        <v>122</v>
      </c>
      <c r="BG292" s="296">
        <v>0</v>
      </c>
      <c r="BH292" s="296">
        <v>122</v>
      </c>
      <c r="BI292" s="723"/>
      <c r="BJ292" s="723"/>
      <c r="BK292" s="723"/>
      <c r="BL292" s="723"/>
      <c r="BM292" s="723"/>
      <c r="BN292" s="723"/>
      <c r="BO292" s="723"/>
      <c r="BP292" s="509"/>
      <c r="BQ292" s="723"/>
      <c r="BR292" s="723"/>
      <c r="BS292" s="723"/>
      <c r="BT292" s="723"/>
      <c r="BU292" s="723"/>
      <c r="BV292" s="723"/>
      <c r="BW292" s="723"/>
      <c r="BX292" s="723"/>
      <c r="BY292" s="509"/>
      <c r="BZ292" s="723"/>
      <c r="CA292" s="723"/>
      <c r="CB292" s="516">
        <v>121800</v>
      </c>
      <c r="CC292" s="297">
        <v>122</v>
      </c>
      <c r="CD292" s="723"/>
    </row>
    <row r="293" spans="1:82" ht="22.5" x14ac:dyDescent="0.2">
      <c r="A293" s="703"/>
      <c r="B293" s="292" t="s">
        <v>1381</v>
      </c>
      <c r="C293" s="329" t="s">
        <v>1538</v>
      </c>
      <c r="D293" s="314"/>
      <c r="E293" s="512" t="s">
        <v>900</v>
      </c>
      <c r="F293" s="294" t="s">
        <v>1539</v>
      </c>
      <c r="G293" s="516"/>
      <c r="H293" s="516"/>
      <c r="I293" s="516"/>
      <c r="J293" s="516"/>
      <c r="K293" s="516"/>
      <c r="L293" s="516"/>
      <c r="M293" s="296"/>
      <c r="N293" s="296"/>
      <c r="O293" s="296"/>
      <c r="P293" s="296"/>
      <c r="Q293" s="296"/>
      <c r="R293" s="296"/>
      <c r="S293" s="296"/>
      <c r="T293" s="296"/>
      <c r="U293" s="296"/>
      <c r="V293" s="296"/>
      <c r="W293" s="296"/>
      <c r="X293" s="296"/>
      <c r="Y293" s="296"/>
      <c r="Z293" s="296"/>
      <c r="AA293" s="296"/>
      <c r="AB293" s="296"/>
      <c r="AC293" s="296"/>
      <c r="AD293" s="296"/>
      <c r="AE293" s="296"/>
      <c r="AF293" s="296"/>
      <c r="AG293" s="296"/>
      <c r="AH293" s="299"/>
      <c r="AI293" s="296"/>
      <c r="AJ293" s="299"/>
      <c r="AK293" s="299"/>
      <c r="AL293" s="299"/>
      <c r="AM293" s="299"/>
      <c r="AN293" s="299"/>
      <c r="AO293" s="299"/>
      <c r="AP293" s="499"/>
      <c r="AQ293" s="296"/>
      <c r="AR293" s="296"/>
      <c r="AS293" s="296"/>
      <c r="AT293" s="296"/>
      <c r="AU293" s="296"/>
      <c r="AV293" s="296"/>
      <c r="AW293" s="296"/>
      <c r="AX293" s="296"/>
      <c r="AY293" s="296"/>
      <c r="AZ293" s="296"/>
      <c r="BA293" s="296"/>
      <c r="BB293" s="296"/>
      <c r="BC293" s="499">
        <f t="shared" si="80"/>
        <v>49</v>
      </c>
      <c r="BD293" s="499">
        <f t="shared" si="80"/>
        <v>0</v>
      </c>
      <c r="BE293" s="499">
        <f t="shared" si="80"/>
        <v>49</v>
      </c>
      <c r="BF293" s="296">
        <v>49</v>
      </c>
      <c r="BG293" s="296">
        <v>0</v>
      </c>
      <c r="BH293" s="296">
        <f>SUM(BF293:BG293)</f>
        <v>49</v>
      </c>
      <c r="BI293" s="723"/>
      <c r="BJ293" s="723"/>
      <c r="BK293" s="723"/>
      <c r="BL293" s="723"/>
      <c r="BM293" s="723"/>
      <c r="BN293" s="723"/>
      <c r="BO293" s="723"/>
      <c r="BP293" s="509"/>
      <c r="BQ293" s="723"/>
      <c r="BR293" s="723"/>
      <c r="BS293" s="723"/>
      <c r="BT293" s="723"/>
      <c r="BU293" s="723"/>
      <c r="BV293" s="723"/>
      <c r="BW293" s="723"/>
      <c r="BX293" s="723"/>
      <c r="BY293" s="509"/>
      <c r="BZ293" s="723"/>
      <c r="CA293" s="723"/>
      <c r="CB293" s="516">
        <v>48900</v>
      </c>
      <c r="CC293" s="297">
        <v>49</v>
      </c>
      <c r="CD293" s="723"/>
    </row>
    <row r="294" spans="1:82" ht="22.5" x14ac:dyDescent="0.2">
      <c r="A294" s="703"/>
      <c r="B294" s="292" t="s">
        <v>1381</v>
      </c>
      <c r="C294" s="329" t="s">
        <v>1540</v>
      </c>
      <c r="D294" s="314"/>
      <c r="E294" s="512" t="s">
        <v>900</v>
      </c>
      <c r="F294" s="294" t="s">
        <v>1541</v>
      </c>
      <c r="G294" s="516"/>
      <c r="H294" s="516"/>
      <c r="I294" s="516"/>
      <c r="J294" s="516"/>
      <c r="K294" s="516"/>
      <c r="L294" s="516"/>
      <c r="M294" s="296"/>
      <c r="N294" s="296"/>
      <c r="O294" s="296"/>
      <c r="P294" s="296"/>
      <c r="Q294" s="296"/>
      <c r="R294" s="296"/>
      <c r="S294" s="296"/>
      <c r="T294" s="296"/>
      <c r="U294" s="296"/>
      <c r="V294" s="296"/>
      <c r="W294" s="296"/>
      <c r="X294" s="296"/>
      <c r="Y294" s="296"/>
      <c r="Z294" s="296"/>
      <c r="AA294" s="296"/>
      <c r="AB294" s="296"/>
      <c r="AC294" s="296"/>
      <c r="AD294" s="296"/>
      <c r="AE294" s="296"/>
      <c r="AF294" s="296"/>
      <c r="AG294" s="296"/>
      <c r="AH294" s="299"/>
      <c r="AI294" s="296"/>
      <c r="AJ294" s="299"/>
      <c r="AK294" s="299"/>
      <c r="AL294" s="299"/>
      <c r="AM294" s="299"/>
      <c r="AN294" s="299"/>
      <c r="AO294" s="299"/>
      <c r="AP294" s="499"/>
      <c r="AQ294" s="296"/>
      <c r="AR294" s="296"/>
      <c r="AS294" s="296"/>
      <c r="AT294" s="296"/>
      <c r="AU294" s="296"/>
      <c r="AV294" s="296"/>
      <c r="AW294" s="296"/>
      <c r="AX294" s="296"/>
      <c r="AY294" s="296"/>
      <c r="AZ294" s="296"/>
      <c r="BA294" s="296"/>
      <c r="BB294" s="296"/>
      <c r="BC294" s="499">
        <f t="shared" si="80"/>
        <v>114</v>
      </c>
      <c r="BD294" s="499">
        <f t="shared" si="80"/>
        <v>0</v>
      </c>
      <c r="BE294" s="499">
        <f t="shared" si="80"/>
        <v>114</v>
      </c>
      <c r="BF294" s="296">
        <v>114</v>
      </c>
      <c r="BG294" s="296">
        <v>0</v>
      </c>
      <c r="BH294" s="296">
        <f>SUM(BF294:BG294)</f>
        <v>114</v>
      </c>
      <c r="BI294" s="723"/>
      <c r="BJ294" s="723"/>
      <c r="BK294" s="723"/>
      <c r="BL294" s="723"/>
      <c r="BM294" s="723"/>
      <c r="BN294" s="723"/>
      <c r="BO294" s="723"/>
      <c r="BP294" s="509"/>
      <c r="BQ294" s="723"/>
      <c r="BR294" s="723"/>
      <c r="BS294" s="723"/>
      <c r="BT294" s="723"/>
      <c r="BU294" s="723"/>
      <c r="BV294" s="723"/>
      <c r="BW294" s="723"/>
      <c r="BX294" s="723"/>
      <c r="BY294" s="509"/>
      <c r="BZ294" s="723"/>
      <c r="CA294" s="723"/>
      <c r="CB294" s="516">
        <v>114100</v>
      </c>
      <c r="CC294" s="297">
        <v>114</v>
      </c>
      <c r="CD294" s="723"/>
    </row>
    <row r="295" spans="1:82" ht="22.5" x14ac:dyDescent="0.2">
      <c r="A295" s="703"/>
      <c r="B295" s="292" t="s">
        <v>1381</v>
      </c>
      <c r="C295" s="329" t="s">
        <v>948</v>
      </c>
      <c r="D295" s="314"/>
      <c r="E295" s="512" t="s">
        <v>900</v>
      </c>
      <c r="F295" s="294" t="s">
        <v>949</v>
      </c>
      <c r="G295" s="516"/>
      <c r="H295" s="516"/>
      <c r="I295" s="516"/>
      <c r="J295" s="516"/>
      <c r="K295" s="516"/>
      <c r="L295" s="516"/>
      <c r="M295" s="296"/>
      <c r="N295" s="296"/>
      <c r="O295" s="296"/>
      <c r="P295" s="296"/>
      <c r="Q295" s="296"/>
      <c r="R295" s="296"/>
      <c r="S295" s="296"/>
      <c r="T295" s="296"/>
      <c r="U295" s="296"/>
      <c r="V295" s="296"/>
      <c r="W295" s="296"/>
      <c r="X295" s="296"/>
      <c r="Y295" s="296"/>
      <c r="Z295" s="296"/>
      <c r="AA295" s="296"/>
      <c r="AB295" s="296"/>
      <c r="AC295" s="296"/>
      <c r="AD295" s="296"/>
      <c r="AE295" s="296"/>
      <c r="AF295" s="296"/>
      <c r="AG295" s="296"/>
      <c r="AH295" s="299"/>
      <c r="AI295" s="296"/>
      <c r="AJ295" s="299"/>
      <c r="AK295" s="299"/>
      <c r="AL295" s="299"/>
      <c r="AM295" s="299"/>
      <c r="AN295" s="299"/>
      <c r="AO295" s="299"/>
      <c r="AP295" s="499"/>
      <c r="AQ295" s="296"/>
      <c r="AR295" s="296"/>
      <c r="AS295" s="296"/>
      <c r="AT295" s="296"/>
      <c r="AU295" s="296"/>
      <c r="AV295" s="296"/>
      <c r="AW295" s="296"/>
      <c r="AX295" s="296"/>
      <c r="AY295" s="296"/>
      <c r="AZ295" s="296"/>
      <c r="BA295" s="296"/>
      <c r="BB295" s="296"/>
      <c r="BC295" s="499">
        <f t="shared" si="80"/>
        <v>282</v>
      </c>
      <c r="BD295" s="499">
        <f t="shared" si="80"/>
        <v>76</v>
      </c>
      <c r="BE295" s="499">
        <f t="shared" si="80"/>
        <v>358</v>
      </c>
      <c r="BF295" s="296">
        <v>282</v>
      </c>
      <c r="BG295" s="296">
        <v>76</v>
      </c>
      <c r="BH295" s="499">
        <f t="shared" ref="BH295:BH296" si="83">SUM(BF295:BG295)</f>
        <v>358</v>
      </c>
      <c r="BI295" s="723"/>
      <c r="BJ295" s="723"/>
      <c r="BK295" s="723"/>
      <c r="BL295" s="723"/>
      <c r="BM295" s="723"/>
      <c r="BN295" s="723"/>
      <c r="BO295" s="723"/>
      <c r="BP295" s="509"/>
      <c r="BQ295" s="723"/>
      <c r="BR295" s="723"/>
      <c r="BS295" s="723"/>
      <c r="BT295" s="723"/>
      <c r="BU295" s="723"/>
      <c r="BV295" s="723"/>
      <c r="BW295" s="723"/>
      <c r="BX295" s="723"/>
      <c r="BY295" s="509"/>
      <c r="BZ295" s="723"/>
      <c r="CA295" s="723"/>
      <c r="CB295" s="516">
        <v>281592</v>
      </c>
      <c r="CC295" s="297">
        <v>358</v>
      </c>
      <c r="CD295" s="723"/>
    </row>
    <row r="296" spans="1:82" ht="22.5" x14ac:dyDescent="0.2">
      <c r="A296" s="703"/>
      <c r="B296" s="292" t="s">
        <v>1381</v>
      </c>
      <c r="C296" s="329" t="s">
        <v>1542</v>
      </c>
      <c r="D296" s="314" t="s">
        <v>729</v>
      </c>
      <c r="E296" s="512" t="s">
        <v>900</v>
      </c>
      <c r="F296" s="294" t="s">
        <v>1543</v>
      </c>
      <c r="G296" s="516"/>
      <c r="H296" s="516"/>
      <c r="I296" s="516"/>
      <c r="J296" s="516"/>
      <c r="K296" s="516"/>
      <c r="L296" s="516"/>
      <c r="M296" s="296"/>
      <c r="N296" s="296"/>
      <c r="O296" s="296"/>
      <c r="P296" s="296"/>
      <c r="Q296" s="296"/>
      <c r="R296" s="296"/>
      <c r="S296" s="296"/>
      <c r="T296" s="296"/>
      <c r="U296" s="296"/>
      <c r="V296" s="296"/>
      <c r="W296" s="296"/>
      <c r="X296" s="296"/>
      <c r="Y296" s="296"/>
      <c r="Z296" s="296"/>
      <c r="AA296" s="296"/>
      <c r="AB296" s="296"/>
      <c r="AC296" s="296"/>
      <c r="AD296" s="296"/>
      <c r="AE296" s="296"/>
      <c r="AF296" s="296"/>
      <c r="AG296" s="296"/>
      <c r="AH296" s="299"/>
      <c r="AI296" s="296"/>
      <c r="AJ296" s="299"/>
      <c r="AK296" s="299"/>
      <c r="AL296" s="299"/>
      <c r="AM296" s="299"/>
      <c r="AN296" s="299"/>
      <c r="AO296" s="299"/>
      <c r="AP296" s="499"/>
      <c r="AQ296" s="296"/>
      <c r="AR296" s="296"/>
      <c r="AS296" s="296"/>
      <c r="AT296" s="296"/>
      <c r="AU296" s="296"/>
      <c r="AV296" s="296"/>
      <c r="AW296" s="296"/>
      <c r="AX296" s="296"/>
      <c r="AY296" s="296"/>
      <c r="AZ296" s="296"/>
      <c r="BA296" s="296"/>
      <c r="BB296" s="296"/>
      <c r="BC296" s="499">
        <f t="shared" si="80"/>
        <v>12684</v>
      </c>
      <c r="BD296" s="499">
        <f t="shared" si="80"/>
        <v>0</v>
      </c>
      <c r="BE296" s="499">
        <f t="shared" si="80"/>
        <v>12684</v>
      </c>
      <c r="BF296" s="296">
        <v>12684</v>
      </c>
      <c r="BG296" s="296">
        <v>0</v>
      </c>
      <c r="BH296" s="499">
        <f t="shared" si="83"/>
        <v>12684</v>
      </c>
      <c r="BI296" s="723"/>
      <c r="BJ296" s="723"/>
      <c r="BK296" s="723"/>
      <c r="BL296" s="723"/>
      <c r="BM296" s="723"/>
      <c r="BN296" s="723"/>
      <c r="BO296" s="723"/>
      <c r="BP296" s="509"/>
      <c r="BQ296" s="723"/>
      <c r="BR296" s="723"/>
      <c r="BS296" s="723"/>
      <c r="BT296" s="723"/>
      <c r="BU296" s="723"/>
      <c r="BV296" s="723"/>
      <c r="BW296" s="723"/>
      <c r="BX296" s="723"/>
      <c r="BY296" s="509"/>
      <c r="BZ296" s="723"/>
      <c r="CA296" s="723"/>
      <c r="CB296" s="516">
        <v>12684050</v>
      </c>
      <c r="CC296" s="297">
        <v>12684</v>
      </c>
      <c r="CD296" s="723"/>
    </row>
    <row r="297" spans="1:82" ht="22.5" x14ac:dyDescent="0.2">
      <c r="A297" s="703"/>
      <c r="B297" s="292" t="s">
        <v>1381</v>
      </c>
      <c r="C297" s="329" t="s">
        <v>906</v>
      </c>
      <c r="D297" s="314"/>
      <c r="E297" s="512" t="s">
        <v>900</v>
      </c>
      <c r="F297" s="334" t="s">
        <v>907</v>
      </c>
      <c r="G297" s="516"/>
      <c r="H297" s="516"/>
      <c r="I297" s="516"/>
      <c r="J297" s="516"/>
      <c r="K297" s="516"/>
      <c r="L297" s="516"/>
      <c r="M297" s="296"/>
      <c r="N297" s="296"/>
      <c r="O297" s="296"/>
      <c r="P297" s="296"/>
      <c r="Q297" s="296"/>
      <c r="R297" s="296"/>
      <c r="S297" s="296"/>
      <c r="T297" s="296"/>
      <c r="U297" s="296"/>
      <c r="V297" s="296"/>
      <c r="W297" s="296"/>
      <c r="X297" s="296"/>
      <c r="Y297" s="296"/>
      <c r="Z297" s="296"/>
      <c r="AA297" s="296"/>
      <c r="AB297" s="296"/>
      <c r="AC297" s="296"/>
      <c r="AD297" s="296"/>
      <c r="AE297" s="296"/>
      <c r="AF297" s="296"/>
      <c r="AG297" s="296"/>
      <c r="AH297" s="299"/>
      <c r="AI297" s="296"/>
      <c r="AJ297" s="299"/>
      <c r="AK297" s="299">
        <f t="shared" si="76"/>
        <v>129</v>
      </c>
      <c r="AL297" s="299">
        <f t="shared" si="71"/>
        <v>35</v>
      </c>
      <c r="AM297" s="299">
        <f t="shared" si="71"/>
        <v>164</v>
      </c>
      <c r="AN297" s="299">
        <v>129</v>
      </c>
      <c r="AO297" s="299">
        <v>35</v>
      </c>
      <c r="AP297" s="499">
        <f t="shared" si="81"/>
        <v>164</v>
      </c>
      <c r="AQ297" s="296">
        <f t="shared" si="75"/>
        <v>0</v>
      </c>
      <c r="AR297" s="296">
        <f t="shared" si="72"/>
        <v>0</v>
      </c>
      <c r="AS297" s="296">
        <f t="shared" si="72"/>
        <v>0</v>
      </c>
      <c r="AT297" s="296">
        <v>129</v>
      </c>
      <c r="AU297" s="296">
        <v>35</v>
      </c>
      <c r="AV297" s="296">
        <f t="shared" si="82"/>
        <v>164</v>
      </c>
      <c r="AW297" s="296"/>
      <c r="AX297" s="296"/>
      <c r="AY297" s="296"/>
      <c r="AZ297" s="296">
        <v>129</v>
      </c>
      <c r="BA297" s="296">
        <v>35</v>
      </c>
      <c r="BB297" s="296">
        <v>164</v>
      </c>
      <c r="BC297" s="499">
        <f t="shared" si="80"/>
        <v>0</v>
      </c>
      <c r="BD297" s="499">
        <f t="shared" si="80"/>
        <v>0</v>
      </c>
      <c r="BE297" s="499">
        <f t="shared" si="80"/>
        <v>0</v>
      </c>
      <c r="BF297" s="296">
        <v>129</v>
      </c>
      <c r="BG297" s="296">
        <v>35</v>
      </c>
      <c r="BH297" s="296">
        <v>164</v>
      </c>
      <c r="BI297" s="724"/>
      <c r="BJ297" s="723"/>
      <c r="BK297" s="723"/>
      <c r="BL297" s="724"/>
      <c r="BM297" s="724"/>
      <c r="BN297" s="724"/>
      <c r="BO297" s="724"/>
      <c r="BP297" s="509"/>
      <c r="BQ297" s="724"/>
      <c r="BR297" s="723"/>
      <c r="BS297" s="723"/>
      <c r="BT297" s="723"/>
      <c r="BU297" s="724"/>
      <c r="BV297" s="724"/>
      <c r="BW297" s="724"/>
      <c r="BX297" s="724"/>
      <c r="BY297" s="509"/>
      <c r="BZ297" s="724"/>
      <c r="CA297" s="723"/>
      <c r="CB297" s="516">
        <v>129000</v>
      </c>
      <c r="CC297" s="297">
        <v>164</v>
      </c>
      <c r="CD297" s="724"/>
    </row>
    <row r="298" spans="1:82" ht="35.25" customHeight="1" x14ac:dyDescent="0.2">
      <c r="A298" s="702" t="s">
        <v>419</v>
      </c>
      <c r="B298" s="292" t="s">
        <v>1381</v>
      </c>
      <c r="C298" s="329" t="s">
        <v>908</v>
      </c>
      <c r="D298" s="314" t="s">
        <v>729</v>
      </c>
      <c r="E298" s="702" t="s">
        <v>909</v>
      </c>
      <c r="F298" s="302" t="s">
        <v>910</v>
      </c>
      <c r="G298" s="336"/>
      <c r="H298" s="296"/>
      <c r="I298" s="296"/>
      <c r="J298" s="296"/>
      <c r="K298" s="296"/>
      <c r="L298" s="296"/>
      <c r="M298" s="296"/>
      <c r="N298" s="296"/>
      <c r="O298" s="296"/>
      <c r="P298" s="296"/>
      <c r="Q298" s="296"/>
      <c r="R298" s="296"/>
      <c r="S298" s="296"/>
      <c r="T298" s="296"/>
      <c r="U298" s="296"/>
      <c r="V298" s="296"/>
      <c r="W298" s="296"/>
      <c r="X298" s="296"/>
      <c r="Y298" s="296"/>
      <c r="Z298" s="296"/>
      <c r="AA298" s="296"/>
      <c r="AB298" s="296"/>
      <c r="AC298" s="296"/>
      <c r="AD298" s="296"/>
      <c r="AE298" s="296"/>
      <c r="AF298" s="296"/>
      <c r="AG298" s="296"/>
      <c r="AH298" s="299">
        <v>4825</v>
      </c>
      <c r="AI298" s="296">
        <v>1303</v>
      </c>
      <c r="AJ298" s="499">
        <f>SUM(AH298:AI298)</f>
        <v>6128</v>
      </c>
      <c r="AK298" s="299">
        <f t="shared" si="76"/>
        <v>0</v>
      </c>
      <c r="AL298" s="299">
        <f t="shared" si="71"/>
        <v>0</v>
      </c>
      <c r="AM298" s="299">
        <f t="shared" si="71"/>
        <v>0</v>
      </c>
      <c r="AN298" s="299">
        <v>4825</v>
      </c>
      <c r="AO298" s="299">
        <v>1303</v>
      </c>
      <c r="AP298" s="299">
        <f t="shared" si="81"/>
        <v>6128</v>
      </c>
      <c r="AQ298" s="296">
        <f t="shared" ref="AQ298:AQ301" si="84">AT298-AN298</f>
        <v>0</v>
      </c>
      <c r="AR298" s="296">
        <f t="shared" si="72"/>
        <v>0</v>
      </c>
      <c r="AS298" s="296">
        <f t="shared" si="72"/>
        <v>0</v>
      </c>
      <c r="AT298" s="296">
        <v>4825</v>
      </c>
      <c r="AU298" s="296">
        <v>1303</v>
      </c>
      <c r="AV298" s="296">
        <f t="shared" si="82"/>
        <v>6128</v>
      </c>
      <c r="AW298" s="296"/>
      <c r="AX298" s="296"/>
      <c r="AY298" s="296"/>
      <c r="AZ298" s="296">
        <v>4825</v>
      </c>
      <c r="BA298" s="296">
        <v>1303</v>
      </c>
      <c r="BB298" s="296">
        <v>6128</v>
      </c>
      <c r="BC298" s="499">
        <f t="shared" si="80"/>
        <v>0</v>
      </c>
      <c r="BD298" s="499">
        <f t="shared" si="80"/>
        <v>-1303</v>
      </c>
      <c r="BE298" s="499">
        <f t="shared" si="80"/>
        <v>-1303</v>
      </c>
      <c r="BF298" s="296">
        <v>4825</v>
      </c>
      <c r="BG298" s="296">
        <v>0</v>
      </c>
      <c r="BH298" s="296">
        <f>SUM(BF298:BG298)</f>
        <v>4825</v>
      </c>
      <c r="BI298" s="722">
        <f>SUM(I298:I299)</f>
        <v>0</v>
      </c>
      <c r="BJ298" s="722">
        <f>SUM(L298:L299)</f>
        <v>0</v>
      </c>
      <c r="BK298" s="722">
        <f>SUM(O298:O299)</f>
        <v>0</v>
      </c>
      <c r="BL298" s="722">
        <f>SUM(R298:R299)</f>
        <v>0</v>
      </c>
      <c r="BM298" s="722">
        <f>SUM(U298:U299)</f>
        <v>0</v>
      </c>
      <c r="BN298" s="722">
        <f>SUM(AD298:AD299)</f>
        <v>0</v>
      </c>
      <c r="BO298" s="722">
        <f>SUM(AA298:AA299)</f>
        <v>0</v>
      </c>
      <c r="BP298" s="722"/>
      <c r="BQ298" s="722">
        <f>SUM(AG298:AG299)</f>
        <v>0</v>
      </c>
      <c r="BR298" s="722">
        <f>SUM(AJ298:AJ299)</f>
        <v>12700</v>
      </c>
      <c r="BS298" s="722">
        <f>SUM(AM298:AM299)</f>
        <v>0</v>
      </c>
      <c r="BT298" s="722">
        <f>SUM(AP298:AP299)</f>
        <v>12700</v>
      </c>
      <c r="BU298" s="722">
        <f>SUM(AS298:AS299)</f>
        <v>0</v>
      </c>
      <c r="BV298" s="722">
        <f>SUM(AV298:AV299)</f>
        <v>12700</v>
      </c>
      <c r="BW298" s="722">
        <f>SUM(BE298:BE299)</f>
        <v>-7875</v>
      </c>
      <c r="BX298" s="722">
        <f>SUM(BB298:BB299)</f>
        <v>12700</v>
      </c>
      <c r="BY298" s="722"/>
      <c r="BZ298" s="722">
        <f>SUM(BH298:BH299)</f>
        <v>4825</v>
      </c>
      <c r="CA298" s="722">
        <f>SUM(BQ298,BZ298)</f>
        <v>4825</v>
      </c>
      <c r="CB298" s="516">
        <v>4824900</v>
      </c>
      <c r="CC298" s="297">
        <v>4825</v>
      </c>
      <c r="CD298" s="722">
        <f>SUM(CC298:CC299)</f>
        <v>4825</v>
      </c>
    </row>
    <row r="299" spans="1:82" ht="34.5" customHeight="1" x14ac:dyDescent="0.2">
      <c r="A299" s="703"/>
      <c r="B299" s="292" t="s">
        <v>1381</v>
      </c>
      <c r="C299" s="293" t="s">
        <v>1143</v>
      </c>
      <c r="D299" s="314" t="s">
        <v>729</v>
      </c>
      <c r="E299" s="703"/>
      <c r="F299" s="302" t="s">
        <v>1544</v>
      </c>
      <c r="G299" s="337"/>
      <c r="H299" s="516"/>
      <c r="I299" s="516"/>
      <c r="J299" s="516"/>
      <c r="K299" s="516"/>
      <c r="L299" s="516"/>
      <c r="M299" s="296"/>
      <c r="N299" s="296"/>
      <c r="O299" s="296"/>
      <c r="P299" s="296"/>
      <c r="Q299" s="296"/>
      <c r="R299" s="296"/>
      <c r="S299" s="296"/>
      <c r="T299" s="296"/>
      <c r="U299" s="296"/>
      <c r="V299" s="296"/>
      <c r="W299" s="296"/>
      <c r="X299" s="296"/>
      <c r="Y299" s="296"/>
      <c r="Z299" s="296"/>
      <c r="AA299" s="296"/>
      <c r="AB299" s="296"/>
      <c r="AC299" s="296"/>
      <c r="AD299" s="296"/>
      <c r="AE299" s="296"/>
      <c r="AF299" s="296"/>
      <c r="AG299" s="296"/>
      <c r="AH299" s="299">
        <v>5175</v>
      </c>
      <c r="AI299" s="296">
        <v>1397</v>
      </c>
      <c r="AJ299" s="499">
        <f>SUM(AH299:AI299)</f>
        <v>6572</v>
      </c>
      <c r="AK299" s="296">
        <f t="shared" si="76"/>
        <v>0</v>
      </c>
      <c r="AL299" s="296">
        <f t="shared" si="71"/>
        <v>0</v>
      </c>
      <c r="AM299" s="296">
        <f t="shared" si="71"/>
        <v>0</v>
      </c>
      <c r="AN299" s="299">
        <v>5175</v>
      </c>
      <c r="AO299" s="296">
        <v>1397</v>
      </c>
      <c r="AP299" s="499">
        <f t="shared" si="81"/>
        <v>6572</v>
      </c>
      <c r="AQ299" s="296">
        <f t="shared" si="84"/>
        <v>0</v>
      </c>
      <c r="AR299" s="296">
        <f t="shared" si="72"/>
        <v>0</v>
      </c>
      <c r="AS299" s="296">
        <f t="shared" si="72"/>
        <v>0</v>
      </c>
      <c r="AT299" s="296">
        <v>5175</v>
      </c>
      <c r="AU299" s="296">
        <v>1397</v>
      </c>
      <c r="AV299" s="296">
        <f t="shared" si="82"/>
        <v>6572</v>
      </c>
      <c r="AW299" s="296"/>
      <c r="AX299" s="296"/>
      <c r="AY299" s="296"/>
      <c r="AZ299" s="296">
        <v>5175</v>
      </c>
      <c r="BA299" s="296">
        <v>1397</v>
      </c>
      <c r="BB299" s="296">
        <v>6572</v>
      </c>
      <c r="BC299" s="499">
        <f t="shared" si="80"/>
        <v>-5175</v>
      </c>
      <c r="BD299" s="499">
        <f t="shared" si="80"/>
        <v>-1397</v>
      </c>
      <c r="BE299" s="499">
        <f t="shared" si="80"/>
        <v>-6572</v>
      </c>
      <c r="BF299" s="296">
        <v>0</v>
      </c>
      <c r="BG299" s="296">
        <v>0</v>
      </c>
      <c r="BH299" s="296">
        <f>SUBTOTAL(9,BF299:BG299)</f>
        <v>0</v>
      </c>
      <c r="BI299" s="724"/>
      <c r="BJ299" s="724"/>
      <c r="BK299" s="724"/>
      <c r="BL299" s="724"/>
      <c r="BM299" s="724"/>
      <c r="BN299" s="724"/>
      <c r="BO299" s="724"/>
      <c r="BP299" s="724"/>
      <c r="BQ299" s="724"/>
      <c r="BR299" s="724"/>
      <c r="BS299" s="724"/>
      <c r="BT299" s="724"/>
      <c r="BU299" s="724"/>
      <c r="BV299" s="724"/>
      <c r="BW299" s="724"/>
      <c r="BX299" s="724"/>
      <c r="BY299" s="724"/>
      <c r="BZ299" s="724"/>
      <c r="CA299" s="724"/>
      <c r="CB299" s="516">
        <v>0</v>
      </c>
      <c r="CC299" s="297">
        <v>0</v>
      </c>
      <c r="CD299" s="724"/>
    </row>
    <row r="300" spans="1:82" x14ac:dyDescent="0.2">
      <c r="A300" s="702" t="s">
        <v>420</v>
      </c>
      <c r="B300" s="292" t="s">
        <v>1381</v>
      </c>
      <c r="C300" s="329" t="s">
        <v>911</v>
      </c>
      <c r="D300" s="314" t="s">
        <v>1055</v>
      </c>
      <c r="E300" s="702" t="s">
        <v>912</v>
      </c>
      <c r="F300" s="294" t="s">
        <v>1545</v>
      </c>
      <c r="G300" s="33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6"/>
      <c r="W300" s="296"/>
      <c r="X300" s="296"/>
      <c r="Y300" s="296"/>
      <c r="Z300" s="296"/>
      <c r="AA300" s="296"/>
      <c r="AB300" s="296"/>
      <c r="AC300" s="296"/>
      <c r="AD300" s="296"/>
      <c r="AE300" s="296"/>
      <c r="AF300" s="296"/>
      <c r="AG300" s="296"/>
      <c r="AH300" s="299">
        <v>3000</v>
      </c>
      <c r="AI300" s="296">
        <v>810</v>
      </c>
      <c r="AJ300" s="299">
        <f>SUM(AH300:AI300)</f>
        <v>3810</v>
      </c>
      <c r="AK300" s="296">
        <f t="shared" si="76"/>
        <v>0</v>
      </c>
      <c r="AL300" s="296">
        <f t="shared" si="71"/>
        <v>0</v>
      </c>
      <c r="AM300" s="296">
        <f t="shared" si="71"/>
        <v>0</v>
      </c>
      <c r="AN300" s="299">
        <v>3000</v>
      </c>
      <c r="AO300" s="296">
        <v>810</v>
      </c>
      <c r="AP300" s="299">
        <f t="shared" si="81"/>
        <v>3810</v>
      </c>
      <c r="AQ300" s="296">
        <f t="shared" si="84"/>
        <v>0</v>
      </c>
      <c r="AR300" s="296">
        <f t="shared" si="72"/>
        <v>0</v>
      </c>
      <c r="AS300" s="296">
        <f t="shared" si="72"/>
        <v>0</v>
      </c>
      <c r="AT300" s="296">
        <v>3000</v>
      </c>
      <c r="AU300" s="296">
        <v>810</v>
      </c>
      <c r="AV300" s="296">
        <f t="shared" si="82"/>
        <v>3810</v>
      </c>
      <c r="AW300" s="296"/>
      <c r="AX300" s="296"/>
      <c r="AY300" s="296"/>
      <c r="AZ300" s="296">
        <v>3000</v>
      </c>
      <c r="BA300" s="296">
        <v>810</v>
      </c>
      <c r="BB300" s="296">
        <v>3810</v>
      </c>
      <c r="BC300" s="499">
        <f t="shared" si="80"/>
        <v>-3000</v>
      </c>
      <c r="BD300" s="499">
        <f t="shared" si="80"/>
        <v>-810</v>
      </c>
      <c r="BE300" s="499">
        <f t="shared" si="80"/>
        <v>-3810</v>
      </c>
      <c r="BF300" s="296">
        <v>0</v>
      </c>
      <c r="BG300" s="296">
        <v>0</v>
      </c>
      <c r="BH300" s="296">
        <f>SUM(BF300:BG300)</f>
        <v>0</v>
      </c>
      <c r="BI300" s="722">
        <f>SUM(I300:I304)</f>
        <v>0</v>
      </c>
      <c r="BJ300" s="722">
        <f>SUM(L300:L304)</f>
        <v>0</v>
      </c>
      <c r="BK300" s="722">
        <f>SUM(O300:O304)</f>
        <v>0</v>
      </c>
      <c r="BL300" s="722">
        <f>SUM(R300:R304)</f>
        <v>0</v>
      </c>
      <c r="BM300" s="722">
        <f>SUM(U300:U304)</f>
        <v>0</v>
      </c>
      <c r="BN300" s="722">
        <f>SUM(AD300:AD304)</f>
        <v>0</v>
      </c>
      <c r="BO300" s="722">
        <f>SUM(AA300:AA304)</f>
        <v>0</v>
      </c>
      <c r="BP300" s="516"/>
      <c r="BQ300" s="722">
        <f>SUM(AG300:AG304)</f>
        <v>0</v>
      </c>
      <c r="BR300" s="722">
        <f>SUM(AJ300:AJ304)</f>
        <v>153810</v>
      </c>
      <c r="BS300" s="722">
        <f>SUM(AM300:AM304)</f>
        <v>-99280</v>
      </c>
      <c r="BT300" s="722">
        <f>SUM(AP300:AP304)</f>
        <v>54530</v>
      </c>
      <c r="BU300" s="722">
        <f>SUM(AS300:AS304)</f>
        <v>-49000</v>
      </c>
      <c r="BV300" s="722">
        <f>SUM(AV300:AV304)</f>
        <v>5530</v>
      </c>
      <c r="BW300" s="722">
        <f>SUM(BE300:BE304)</f>
        <v>-4810</v>
      </c>
      <c r="BX300" s="722">
        <f>SUM(BB300:BB304)</f>
        <v>5530</v>
      </c>
      <c r="BY300" s="516"/>
      <c r="BZ300" s="722">
        <f>SUM(BH300:BH304)</f>
        <v>720</v>
      </c>
      <c r="CA300" s="722">
        <f>SUM(BQ300,BZ300)</f>
        <v>720</v>
      </c>
      <c r="CB300" s="516"/>
      <c r="CC300" s="297">
        <v>0</v>
      </c>
      <c r="CD300" s="722">
        <f>SUM(CC300:CC304)</f>
        <v>720</v>
      </c>
    </row>
    <row r="301" spans="1:82" x14ac:dyDescent="0.2">
      <c r="A301" s="703"/>
      <c r="B301" s="292" t="s">
        <v>1381</v>
      </c>
      <c r="C301" s="293" t="s">
        <v>1143</v>
      </c>
      <c r="D301" s="314" t="s">
        <v>729</v>
      </c>
      <c r="E301" s="703"/>
      <c r="F301" s="294" t="s">
        <v>1546</v>
      </c>
      <c r="G301" s="33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6"/>
      <c r="W301" s="296"/>
      <c r="X301" s="296"/>
      <c r="Y301" s="296"/>
      <c r="Z301" s="296"/>
      <c r="AA301" s="296"/>
      <c r="AB301" s="296"/>
      <c r="AC301" s="296"/>
      <c r="AD301" s="296"/>
      <c r="AE301" s="296"/>
      <c r="AF301" s="296"/>
      <c r="AG301" s="296"/>
      <c r="AH301" s="299">
        <v>118110</v>
      </c>
      <c r="AI301" s="296">
        <v>31890</v>
      </c>
      <c r="AJ301" s="299">
        <f>SUM(AH301:AI301)</f>
        <v>150000</v>
      </c>
      <c r="AK301" s="296">
        <f t="shared" si="76"/>
        <v>0</v>
      </c>
      <c r="AL301" s="296">
        <f t="shared" si="71"/>
        <v>0</v>
      </c>
      <c r="AM301" s="296">
        <f t="shared" si="71"/>
        <v>0</v>
      </c>
      <c r="AN301" s="299">
        <v>118110</v>
      </c>
      <c r="AO301" s="296">
        <v>31890</v>
      </c>
      <c r="AP301" s="299">
        <f t="shared" si="81"/>
        <v>150000</v>
      </c>
      <c r="AQ301" s="296">
        <f t="shared" si="84"/>
        <v>0</v>
      </c>
      <c r="AR301" s="296">
        <f t="shared" si="72"/>
        <v>0</v>
      </c>
      <c r="AS301" s="296">
        <f t="shared" si="72"/>
        <v>0</v>
      </c>
      <c r="AT301" s="296">
        <f>AN301-SUM(AQ303)</f>
        <v>118110</v>
      </c>
      <c r="AU301" s="296">
        <f>AO301-SUM(AR303)</f>
        <v>31890</v>
      </c>
      <c r="AV301" s="296">
        <f>AP301-SUM(AS303)</f>
        <v>150000</v>
      </c>
      <c r="AW301" s="296"/>
      <c r="AX301" s="296"/>
      <c r="AY301" s="296"/>
      <c r="AZ301" s="296">
        <v>118110</v>
      </c>
      <c r="BA301" s="296">
        <v>31890</v>
      </c>
      <c r="BB301" s="296">
        <v>150000</v>
      </c>
      <c r="BC301" s="499">
        <f t="shared" si="80"/>
        <v>-787</v>
      </c>
      <c r="BD301" s="499">
        <f t="shared" si="80"/>
        <v>-213</v>
      </c>
      <c r="BE301" s="499">
        <f t="shared" si="80"/>
        <v>-1000</v>
      </c>
      <c r="BF301" s="296">
        <v>117323</v>
      </c>
      <c r="BG301" s="296">
        <v>31677</v>
      </c>
      <c r="BH301" s="296">
        <f>SUM(BF301:BG301)</f>
        <v>149000</v>
      </c>
      <c r="BI301" s="723"/>
      <c r="BJ301" s="723"/>
      <c r="BK301" s="723"/>
      <c r="BL301" s="723"/>
      <c r="BM301" s="723"/>
      <c r="BN301" s="723"/>
      <c r="BO301" s="723"/>
      <c r="BP301" s="509"/>
      <c r="BQ301" s="723"/>
      <c r="BR301" s="723"/>
      <c r="BS301" s="723"/>
      <c r="BT301" s="723"/>
      <c r="BU301" s="723"/>
      <c r="BV301" s="723"/>
      <c r="BW301" s="723"/>
      <c r="BX301" s="723"/>
      <c r="BY301" s="509"/>
      <c r="BZ301" s="723"/>
      <c r="CA301" s="723"/>
      <c r="CB301" s="516">
        <v>0</v>
      </c>
      <c r="CC301" s="297">
        <v>0</v>
      </c>
      <c r="CD301" s="723"/>
    </row>
    <row r="302" spans="1:82" ht="22.5" x14ac:dyDescent="0.2">
      <c r="A302" s="703"/>
      <c r="B302" s="292" t="s">
        <v>1381</v>
      </c>
      <c r="C302" s="329"/>
      <c r="D302" s="314"/>
      <c r="E302" s="703"/>
      <c r="F302" s="294" t="s">
        <v>1228</v>
      </c>
      <c r="G302" s="336"/>
      <c r="H302" s="296"/>
      <c r="I302" s="296"/>
      <c r="J302" s="296"/>
      <c r="K302" s="296"/>
      <c r="L302" s="296"/>
      <c r="M302" s="296"/>
      <c r="N302" s="296"/>
      <c r="O302" s="296"/>
      <c r="P302" s="296"/>
      <c r="Q302" s="296"/>
      <c r="R302" s="296"/>
      <c r="S302" s="296"/>
      <c r="T302" s="296"/>
      <c r="U302" s="296"/>
      <c r="V302" s="296"/>
      <c r="W302" s="296"/>
      <c r="X302" s="296"/>
      <c r="Y302" s="296"/>
      <c r="Z302" s="296"/>
      <c r="AA302" s="296"/>
      <c r="AB302" s="296"/>
      <c r="AC302" s="296"/>
      <c r="AD302" s="296"/>
      <c r="AE302" s="296"/>
      <c r="AF302" s="296"/>
      <c r="AG302" s="296"/>
      <c r="AH302" s="299"/>
      <c r="AI302" s="296"/>
      <c r="AJ302" s="308"/>
      <c r="AK302" s="296">
        <v>-78740</v>
      </c>
      <c r="AL302" s="296">
        <v>-21260</v>
      </c>
      <c r="AM302" s="296">
        <f>SUM(AK302:AL302)</f>
        <v>-100000</v>
      </c>
      <c r="AN302" s="296">
        <v>-78740</v>
      </c>
      <c r="AO302" s="296">
        <v>-21260</v>
      </c>
      <c r="AP302" s="296">
        <f t="shared" si="81"/>
        <v>-100000</v>
      </c>
      <c r="AQ302" s="296">
        <v>0</v>
      </c>
      <c r="AR302" s="296">
        <v>0</v>
      </c>
      <c r="AS302" s="296">
        <f>SUM(AQ302:AR302)</f>
        <v>0</v>
      </c>
      <c r="AT302" s="296">
        <v>-78740</v>
      </c>
      <c r="AU302" s="296">
        <v>-21260</v>
      </c>
      <c r="AV302" s="296">
        <f>SUM(AT302:AU302)</f>
        <v>-100000</v>
      </c>
      <c r="AW302" s="296"/>
      <c r="AX302" s="296"/>
      <c r="AY302" s="296"/>
      <c r="AZ302" s="296">
        <v>-78740</v>
      </c>
      <c r="BA302" s="296">
        <v>-21260</v>
      </c>
      <c r="BB302" s="296">
        <v>-100000</v>
      </c>
      <c r="BC302" s="499">
        <f t="shared" si="80"/>
        <v>0</v>
      </c>
      <c r="BD302" s="499">
        <f t="shared" si="80"/>
        <v>0</v>
      </c>
      <c r="BE302" s="499">
        <f t="shared" si="80"/>
        <v>0</v>
      </c>
      <c r="BF302" s="296">
        <v>-78740</v>
      </c>
      <c r="BG302" s="296">
        <v>-21260</v>
      </c>
      <c r="BH302" s="296">
        <v>-100000</v>
      </c>
      <c r="BI302" s="723"/>
      <c r="BJ302" s="723"/>
      <c r="BK302" s="723"/>
      <c r="BL302" s="723"/>
      <c r="BM302" s="723"/>
      <c r="BN302" s="723"/>
      <c r="BO302" s="723"/>
      <c r="BP302" s="509"/>
      <c r="BQ302" s="723"/>
      <c r="BR302" s="723"/>
      <c r="BS302" s="723"/>
      <c r="BT302" s="723"/>
      <c r="BU302" s="723"/>
      <c r="BV302" s="723"/>
      <c r="BW302" s="723"/>
      <c r="BX302" s="723"/>
      <c r="BY302" s="509"/>
      <c r="BZ302" s="723"/>
      <c r="CA302" s="723"/>
      <c r="CB302" s="516">
        <v>0</v>
      </c>
      <c r="CC302" s="297">
        <v>0</v>
      </c>
      <c r="CD302" s="723"/>
    </row>
    <row r="303" spans="1:82" ht="33.75" x14ac:dyDescent="0.2">
      <c r="A303" s="703"/>
      <c r="B303" s="292" t="s">
        <v>1381</v>
      </c>
      <c r="C303" s="293" t="s">
        <v>1229</v>
      </c>
      <c r="D303" s="314" t="s">
        <v>807</v>
      </c>
      <c r="E303" s="703"/>
      <c r="F303" s="294" t="s">
        <v>914</v>
      </c>
      <c r="G303" s="337"/>
      <c r="H303" s="516"/>
      <c r="I303" s="516"/>
      <c r="J303" s="338"/>
      <c r="K303" s="338"/>
      <c r="L303" s="338"/>
      <c r="M303" s="299"/>
      <c r="N303" s="299"/>
      <c r="O303" s="299"/>
      <c r="P303" s="296"/>
      <c r="Q303" s="296"/>
      <c r="R303" s="296"/>
      <c r="S303" s="296"/>
      <c r="T303" s="296"/>
      <c r="U303" s="296"/>
      <c r="V303" s="296"/>
      <c r="W303" s="296"/>
      <c r="X303" s="296"/>
      <c r="Y303" s="296"/>
      <c r="Z303" s="296"/>
      <c r="AA303" s="296"/>
      <c r="AB303" s="296"/>
      <c r="AC303" s="296"/>
      <c r="AD303" s="296"/>
      <c r="AE303" s="296"/>
      <c r="AF303" s="296"/>
      <c r="AG303" s="296"/>
      <c r="AH303" s="299"/>
      <c r="AI303" s="296"/>
      <c r="AJ303" s="308"/>
      <c r="AK303" s="299">
        <f t="shared" ref="AK303:AM334" si="85">AN303-AH303</f>
        <v>720</v>
      </c>
      <c r="AL303" s="299">
        <f t="shared" si="85"/>
        <v>0</v>
      </c>
      <c r="AM303" s="299">
        <f t="shared" si="85"/>
        <v>720</v>
      </c>
      <c r="AN303" s="299">
        <v>720</v>
      </c>
      <c r="AO303" s="299">
        <v>0</v>
      </c>
      <c r="AP303" s="299">
        <f t="shared" si="81"/>
        <v>720</v>
      </c>
      <c r="AQ303" s="296">
        <f t="shared" ref="AQ303:AS344" si="86">AT303-AN303</f>
        <v>0</v>
      </c>
      <c r="AR303" s="296">
        <f t="shared" si="86"/>
        <v>0</v>
      </c>
      <c r="AS303" s="296">
        <f t="shared" si="86"/>
        <v>0</v>
      </c>
      <c r="AT303" s="296">
        <v>720</v>
      </c>
      <c r="AU303" s="296">
        <v>0</v>
      </c>
      <c r="AV303" s="296">
        <f>SUM(AT303:AU303)</f>
        <v>720</v>
      </c>
      <c r="AW303" s="296"/>
      <c r="AX303" s="296"/>
      <c r="AY303" s="296"/>
      <c r="AZ303" s="296">
        <v>720</v>
      </c>
      <c r="BA303" s="296">
        <v>0</v>
      </c>
      <c r="BB303" s="296">
        <v>720</v>
      </c>
      <c r="BC303" s="499">
        <f t="shared" si="80"/>
        <v>0</v>
      </c>
      <c r="BD303" s="499">
        <f t="shared" si="80"/>
        <v>0</v>
      </c>
      <c r="BE303" s="499">
        <f t="shared" si="80"/>
        <v>0</v>
      </c>
      <c r="BF303" s="296">
        <v>720</v>
      </c>
      <c r="BG303" s="296">
        <v>0</v>
      </c>
      <c r="BH303" s="296">
        <v>720</v>
      </c>
      <c r="BI303" s="723"/>
      <c r="BJ303" s="723"/>
      <c r="BK303" s="723"/>
      <c r="BL303" s="723"/>
      <c r="BM303" s="723"/>
      <c r="BN303" s="723"/>
      <c r="BO303" s="723"/>
      <c r="BP303" s="509"/>
      <c r="BQ303" s="723"/>
      <c r="BR303" s="723"/>
      <c r="BS303" s="723"/>
      <c r="BT303" s="723"/>
      <c r="BU303" s="723"/>
      <c r="BV303" s="723"/>
      <c r="BW303" s="723"/>
      <c r="BX303" s="723"/>
      <c r="BY303" s="509"/>
      <c r="BZ303" s="723"/>
      <c r="CA303" s="723"/>
      <c r="CB303" s="516">
        <v>720200</v>
      </c>
      <c r="CC303" s="297">
        <v>720</v>
      </c>
      <c r="CD303" s="723"/>
    </row>
    <row r="304" spans="1:82" ht="22.5" x14ac:dyDescent="0.2">
      <c r="A304" s="704"/>
      <c r="B304" s="292" t="s">
        <v>1381</v>
      </c>
      <c r="C304" s="329"/>
      <c r="D304" s="314"/>
      <c r="E304" s="704"/>
      <c r="F304" s="294" t="s">
        <v>1230</v>
      </c>
      <c r="G304" s="336"/>
      <c r="H304" s="296"/>
      <c r="I304" s="296"/>
      <c r="J304" s="296"/>
      <c r="K304" s="296"/>
      <c r="L304" s="296"/>
      <c r="M304" s="296"/>
      <c r="N304" s="296"/>
      <c r="O304" s="296"/>
      <c r="P304" s="296"/>
      <c r="Q304" s="296"/>
      <c r="R304" s="296"/>
      <c r="S304" s="296"/>
      <c r="T304" s="296"/>
      <c r="U304" s="296"/>
      <c r="V304" s="296"/>
      <c r="W304" s="296"/>
      <c r="X304" s="296"/>
      <c r="Y304" s="296"/>
      <c r="Z304" s="296"/>
      <c r="AA304" s="296"/>
      <c r="AB304" s="296"/>
      <c r="AC304" s="296"/>
      <c r="AD304" s="296"/>
      <c r="AE304" s="296"/>
      <c r="AF304" s="296"/>
      <c r="AG304" s="296"/>
      <c r="AH304" s="299"/>
      <c r="AI304" s="296"/>
      <c r="AJ304" s="308"/>
      <c r="AK304" s="296"/>
      <c r="AL304" s="296"/>
      <c r="AM304" s="296"/>
      <c r="AN304" s="299"/>
      <c r="AO304" s="296"/>
      <c r="AP304" s="299"/>
      <c r="AQ304" s="296">
        <v>-38583</v>
      </c>
      <c r="AR304" s="296">
        <v>-10417</v>
      </c>
      <c r="AS304" s="296">
        <f>SUM(AQ304:AR304)</f>
        <v>-49000</v>
      </c>
      <c r="AT304" s="296">
        <v>-38583</v>
      </c>
      <c r="AU304" s="296">
        <v>-10417</v>
      </c>
      <c r="AV304" s="296">
        <f>SUM(AT304:AU304)</f>
        <v>-49000</v>
      </c>
      <c r="AW304" s="296"/>
      <c r="AX304" s="296"/>
      <c r="AY304" s="296"/>
      <c r="AZ304" s="296">
        <v>-38583</v>
      </c>
      <c r="BA304" s="296">
        <v>-10417</v>
      </c>
      <c r="BB304" s="296">
        <v>-49000</v>
      </c>
      <c r="BC304" s="499">
        <f t="shared" si="80"/>
        <v>0</v>
      </c>
      <c r="BD304" s="499">
        <f t="shared" si="80"/>
        <v>0</v>
      </c>
      <c r="BE304" s="499">
        <f t="shared" si="80"/>
        <v>0</v>
      </c>
      <c r="BF304" s="296">
        <v>-38583</v>
      </c>
      <c r="BG304" s="296">
        <v>-10417</v>
      </c>
      <c r="BH304" s="296">
        <v>-49000</v>
      </c>
      <c r="BI304" s="724"/>
      <c r="BJ304" s="724"/>
      <c r="BK304" s="724"/>
      <c r="BL304" s="724"/>
      <c r="BM304" s="724"/>
      <c r="BN304" s="724"/>
      <c r="BO304" s="724"/>
      <c r="BP304" s="509"/>
      <c r="BQ304" s="724"/>
      <c r="BR304" s="724"/>
      <c r="BS304" s="724"/>
      <c r="BT304" s="724"/>
      <c r="BU304" s="724"/>
      <c r="BV304" s="724"/>
      <c r="BW304" s="724"/>
      <c r="BX304" s="724"/>
      <c r="BY304" s="509"/>
      <c r="BZ304" s="724"/>
      <c r="CA304" s="724"/>
      <c r="CB304" s="516">
        <v>0</v>
      </c>
      <c r="CC304" s="297">
        <v>0</v>
      </c>
      <c r="CD304" s="724"/>
    </row>
    <row r="305" spans="1:82" x14ac:dyDescent="0.2">
      <c r="A305" s="702" t="s">
        <v>421</v>
      </c>
      <c r="B305" s="292" t="s">
        <v>1381</v>
      </c>
      <c r="C305" s="329" t="s">
        <v>915</v>
      </c>
      <c r="D305" s="314"/>
      <c r="E305" s="702" t="s">
        <v>916</v>
      </c>
      <c r="F305" s="294" t="s">
        <v>1547</v>
      </c>
      <c r="G305" s="296"/>
      <c r="H305" s="296"/>
      <c r="I305" s="296"/>
      <c r="J305" s="296"/>
      <c r="K305" s="296"/>
      <c r="L305" s="296"/>
      <c r="M305" s="296"/>
      <c r="N305" s="296"/>
      <c r="O305" s="296"/>
      <c r="P305" s="296"/>
      <c r="Q305" s="296"/>
      <c r="R305" s="296"/>
      <c r="S305" s="296"/>
      <c r="T305" s="296"/>
      <c r="U305" s="296"/>
      <c r="V305" s="296"/>
      <c r="W305" s="296"/>
      <c r="X305" s="296"/>
      <c r="Y305" s="296"/>
      <c r="Z305" s="296"/>
      <c r="AA305" s="296"/>
      <c r="AB305" s="296"/>
      <c r="AC305" s="296"/>
      <c r="AD305" s="296"/>
      <c r="AE305" s="296"/>
      <c r="AF305" s="296"/>
      <c r="AG305" s="296"/>
      <c r="AH305" s="299">
        <v>2386</v>
      </c>
      <c r="AI305" s="296">
        <v>644</v>
      </c>
      <c r="AJ305" s="502">
        <f>SUM(AH305:AI305)</f>
        <v>3030</v>
      </c>
      <c r="AK305" s="296">
        <f t="shared" si="85"/>
        <v>0</v>
      </c>
      <c r="AL305" s="296">
        <f t="shared" si="85"/>
        <v>0</v>
      </c>
      <c r="AM305" s="296">
        <f t="shared" si="85"/>
        <v>0</v>
      </c>
      <c r="AN305" s="299">
        <v>2386</v>
      </c>
      <c r="AO305" s="296">
        <v>644</v>
      </c>
      <c r="AP305" s="502">
        <f>SUM(AN305:AO305)</f>
        <v>3030</v>
      </c>
      <c r="AQ305" s="296">
        <f t="shared" si="86"/>
        <v>0</v>
      </c>
      <c r="AR305" s="296">
        <f t="shared" si="86"/>
        <v>0</v>
      </c>
      <c r="AS305" s="296">
        <f t="shared" si="86"/>
        <v>0</v>
      </c>
      <c r="AT305" s="296">
        <v>2386</v>
      </c>
      <c r="AU305" s="296">
        <v>644</v>
      </c>
      <c r="AV305" s="296">
        <f>SUM(AT305:AU305)</f>
        <v>3030</v>
      </c>
      <c r="AW305" s="296"/>
      <c r="AX305" s="296"/>
      <c r="AY305" s="296"/>
      <c r="AZ305" s="296">
        <v>2386</v>
      </c>
      <c r="BA305" s="296">
        <v>644</v>
      </c>
      <c r="BB305" s="296">
        <v>3030</v>
      </c>
      <c r="BC305" s="499">
        <f t="shared" si="80"/>
        <v>0</v>
      </c>
      <c r="BD305" s="499">
        <f t="shared" si="80"/>
        <v>0</v>
      </c>
      <c r="BE305" s="499">
        <f t="shared" si="80"/>
        <v>0</v>
      </c>
      <c r="BF305" s="296">
        <v>2386</v>
      </c>
      <c r="BG305" s="296">
        <v>644</v>
      </c>
      <c r="BH305" s="296">
        <v>3030</v>
      </c>
      <c r="BI305" s="722">
        <f>SUM(I305:I324)</f>
        <v>0</v>
      </c>
      <c r="BJ305" s="722">
        <f>SUM(L305:L324)</f>
        <v>0</v>
      </c>
      <c r="BK305" s="722">
        <f>SUM(O305:O324)</f>
        <v>0</v>
      </c>
      <c r="BL305" s="722">
        <f>SUM(R305:R324)</f>
        <v>0</v>
      </c>
      <c r="BM305" s="722">
        <f>SUM(U305:U324)</f>
        <v>0</v>
      </c>
      <c r="BN305" s="722">
        <f>SUM(AP305:AP324)</f>
        <v>27554</v>
      </c>
      <c r="BO305" s="722">
        <f>SUM(AA305:AA324)</f>
        <v>0</v>
      </c>
      <c r="BP305" s="722"/>
      <c r="BQ305" s="722">
        <f>SUM(AG305:AG324)</f>
        <v>0</v>
      </c>
      <c r="BR305" s="722">
        <f>SUM(AJ305:AJ324)</f>
        <v>22068</v>
      </c>
      <c r="BS305" s="722">
        <f>SUM(AM305:AM324)</f>
        <v>5486</v>
      </c>
      <c r="BT305" s="722">
        <f>SUM(AP305:AP324)</f>
        <v>27554</v>
      </c>
      <c r="BU305" s="722">
        <f>SUM(AS305:AS324)</f>
        <v>641</v>
      </c>
      <c r="BV305" s="722">
        <f>SUM(AV305:AV324)</f>
        <v>28195</v>
      </c>
      <c r="BW305" s="722">
        <f>SUM(BE305:BE324)</f>
        <v>14144</v>
      </c>
      <c r="BX305" s="722">
        <f>SUM(BB305:BB324)</f>
        <v>28195</v>
      </c>
      <c r="BY305" s="722"/>
      <c r="BZ305" s="722">
        <f>SUM(BH305:BH324)</f>
        <v>42339</v>
      </c>
      <c r="CA305" s="722">
        <f>SUM(BQ305,BZ305)</f>
        <v>42339</v>
      </c>
      <c r="CB305" s="516">
        <v>2385613.3858267716</v>
      </c>
      <c r="CC305" s="297">
        <v>3030</v>
      </c>
      <c r="CD305" s="722">
        <f>SUM(CC305:CC324)</f>
        <v>42339</v>
      </c>
    </row>
    <row r="306" spans="1:82" collapsed="1" x14ac:dyDescent="0.2">
      <c r="A306" s="703"/>
      <c r="B306" s="292" t="s">
        <v>1381</v>
      </c>
      <c r="C306" s="293" t="s">
        <v>1143</v>
      </c>
      <c r="D306" s="314"/>
      <c r="E306" s="703"/>
      <c r="F306" s="294" t="s">
        <v>1548</v>
      </c>
      <c r="G306" s="516"/>
      <c r="H306" s="516"/>
      <c r="I306" s="516"/>
      <c r="J306" s="516"/>
      <c r="K306" s="516"/>
      <c r="L306" s="516"/>
      <c r="M306" s="296"/>
      <c r="N306" s="296"/>
      <c r="O306" s="296"/>
      <c r="P306" s="296"/>
      <c r="Q306" s="296"/>
      <c r="R306" s="296"/>
      <c r="S306" s="296"/>
      <c r="T306" s="296"/>
      <c r="U306" s="296"/>
      <c r="V306" s="296"/>
      <c r="W306" s="296"/>
      <c r="X306" s="296"/>
      <c r="Y306" s="296"/>
      <c r="Z306" s="296"/>
      <c r="AA306" s="296"/>
      <c r="AB306" s="296"/>
      <c r="AC306" s="296"/>
      <c r="AD306" s="296"/>
      <c r="AE306" s="296"/>
      <c r="AF306" s="296"/>
      <c r="AG306" s="296"/>
      <c r="AH306" s="299">
        <v>6000</v>
      </c>
      <c r="AI306" s="296">
        <v>1620</v>
      </c>
      <c r="AJ306" s="499">
        <f>SUM(AH306:AI306)</f>
        <v>7620</v>
      </c>
      <c r="AK306" s="296">
        <f t="shared" si="85"/>
        <v>-6000</v>
      </c>
      <c r="AL306" s="296">
        <f t="shared" si="85"/>
        <v>-1620</v>
      </c>
      <c r="AM306" s="296">
        <f t="shared" si="85"/>
        <v>-7620</v>
      </c>
      <c r="AN306" s="296">
        <v>0</v>
      </c>
      <c r="AO306" s="296">
        <v>0</v>
      </c>
      <c r="AP306" s="296">
        <v>0</v>
      </c>
      <c r="AQ306" s="296">
        <f t="shared" si="86"/>
        <v>0</v>
      </c>
      <c r="AR306" s="296">
        <f t="shared" si="86"/>
        <v>0</v>
      </c>
      <c r="AS306" s="296">
        <f t="shared" si="86"/>
        <v>0</v>
      </c>
      <c r="AT306" s="296">
        <v>0</v>
      </c>
      <c r="AU306" s="296">
        <v>0</v>
      </c>
      <c r="AV306" s="296">
        <v>0</v>
      </c>
      <c r="AW306" s="296"/>
      <c r="AX306" s="296"/>
      <c r="AY306" s="296"/>
      <c r="AZ306" s="296">
        <v>0</v>
      </c>
      <c r="BA306" s="296">
        <v>0</v>
      </c>
      <c r="BB306" s="296">
        <v>0</v>
      </c>
      <c r="BC306" s="499">
        <f t="shared" si="80"/>
        <v>0</v>
      </c>
      <c r="BD306" s="499">
        <f t="shared" si="80"/>
        <v>0</v>
      </c>
      <c r="BE306" s="499">
        <f t="shared" si="80"/>
        <v>0</v>
      </c>
      <c r="BF306" s="296">
        <v>0</v>
      </c>
      <c r="BG306" s="296">
        <v>0</v>
      </c>
      <c r="BH306" s="296">
        <v>0</v>
      </c>
      <c r="BI306" s="723"/>
      <c r="BJ306" s="723"/>
      <c r="BK306" s="723"/>
      <c r="BL306" s="723"/>
      <c r="BM306" s="723"/>
      <c r="BN306" s="723"/>
      <c r="BO306" s="723"/>
      <c r="BP306" s="723"/>
      <c r="BQ306" s="723"/>
      <c r="BR306" s="723"/>
      <c r="BS306" s="723"/>
      <c r="BT306" s="723"/>
      <c r="BU306" s="723"/>
      <c r="BV306" s="723"/>
      <c r="BW306" s="723"/>
      <c r="BX306" s="723"/>
      <c r="BY306" s="723"/>
      <c r="BZ306" s="723"/>
      <c r="CA306" s="723"/>
      <c r="CB306" s="516">
        <v>0</v>
      </c>
      <c r="CC306" s="297">
        <v>0</v>
      </c>
      <c r="CD306" s="723"/>
    </row>
    <row r="307" spans="1:82" x14ac:dyDescent="0.2">
      <c r="A307" s="703"/>
      <c r="B307" s="292" t="s">
        <v>1381</v>
      </c>
      <c r="C307" s="329"/>
      <c r="D307" s="314"/>
      <c r="E307" s="703"/>
      <c r="F307" s="294" t="s">
        <v>1549</v>
      </c>
      <c r="G307" s="296"/>
      <c r="H307" s="296"/>
      <c r="I307" s="296"/>
      <c r="J307" s="296"/>
      <c r="K307" s="296"/>
      <c r="L307" s="296"/>
      <c r="M307" s="296"/>
      <c r="N307" s="296"/>
      <c r="O307" s="296"/>
      <c r="P307" s="296"/>
      <c r="Q307" s="296"/>
      <c r="R307" s="296"/>
      <c r="S307" s="296"/>
      <c r="T307" s="296"/>
      <c r="U307" s="296"/>
      <c r="V307" s="296"/>
      <c r="W307" s="296"/>
      <c r="X307" s="296"/>
      <c r="Y307" s="296"/>
      <c r="Z307" s="296"/>
      <c r="AA307" s="296"/>
      <c r="AB307" s="296"/>
      <c r="AC307" s="296"/>
      <c r="AD307" s="296"/>
      <c r="AE307" s="296"/>
      <c r="AF307" s="296"/>
      <c r="AG307" s="296"/>
      <c r="AH307" s="299">
        <v>672</v>
      </c>
      <c r="AI307" s="296">
        <v>182</v>
      </c>
      <c r="AJ307" s="499">
        <f>SUM(AH307:AI307)</f>
        <v>854</v>
      </c>
      <c r="AK307" s="296">
        <f t="shared" si="85"/>
        <v>0</v>
      </c>
      <c r="AL307" s="296">
        <f t="shared" si="85"/>
        <v>0</v>
      </c>
      <c r="AM307" s="296">
        <f t="shared" si="85"/>
        <v>0</v>
      </c>
      <c r="AN307" s="299">
        <v>672</v>
      </c>
      <c r="AO307" s="296">
        <v>182</v>
      </c>
      <c r="AP307" s="499">
        <f t="shared" ref="AP307:AP313" si="87">SUM(AN307:AO307)</f>
        <v>854</v>
      </c>
      <c r="AQ307" s="296">
        <f t="shared" si="86"/>
        <v>0</v>
      </c>
      <c r="AR307" s="296">
        <f t="shared" si="86"/>
        <v>0</v>
      </c>
      <c r="AS307" s="296">
        <f t="shared" si="86"/>
        <v>0</v>
      </c>
      <c r="AT307" s="296">
        <v>672</v>
      </c>
      <c r="AU307" s="296">
        <v>182</v>
      </c>
      <c r="AV307" s="296">
        <f t="shared" ref="AV307:AV313" si="88">SUM(AT307:AU307)</f>
        <v>854</v>
      </c>
      <c r="AW307" s="296"/>
      <c r="AX307" s="296"/>
      <c r="AY307" s="296"/>
      <c r="AZ307" s="296">
        <v>672</v>
      </c>
      <c r="BA307" s="296">
        <v>182</v>
      </c>
      <c r="BB307" s="296">
        <v>854</v>
      </c>
      <c r="BC307" s="499">
        <f t="shared" si="80"/>
        <v>-672</v>
      </c>
      <c r="BD307" s="499">
        <f t="shared" si="80"/>
        <v>-182</v>
      </c>
      <c r="BE307" s="499">
        <f t="shared" si="80"/>
        <v>-854</v>
      </c>
      <c r="BF307" s="296">
        <v>0</v>
      </c>
      <c r="BG307" s="296">
        <v>0</v>
      </c>
      <c r="BH307" s="296">
        <v>0</v>
      </c>
      <c r="BI307" s="723"/>
      <c r="BJ307" s="723"/>
      <c r="BK307" s="723"/>
      <c r="BL307" s="723"/>
      <c r="BM307" s="723"/>
      <c r="BN307" s="723"/>
      <c r="BO307" s="723"/>
      <c r="BP307" s="723"/>
      <c r="BQ307" s="723"/>
      <c r="BR307" s="723"/>
      <c r="BS307" s="723"/>
      <c r="BT307" s="723"/>
      <c r="BU307" s="723"/>
      <c r="BV307" s="723"/>
      <c r="BW307" s="723"/>
      <c r="BX307" s="723"/>
      <c r="BY307" s="723"/>
      <c r="BZ307" s="723"/>
      <c r="CA307" s="723"/>
      <c r="CB307" s="516">
        <v>0</v>
      </c>
      <c r="CC307" s="297">
        <v>0</v>
      </c>
      <c r="CD307" s="723"/>
    </row>
    <row r="308" spans="1:82" s="361" customFormat="1" ht="24.75" customHeight="1" x14ac:dyDescent="0.2">
      <c r="A308" s="703"/>
      <c r="B308" s="292" t="s">
        <v>1381</v>
      </c>
      <c r="C308" s="293" t="s">
        <v>917</v>
      </c>
      <c r="D308" s="314"/>
      <c r="E308" s="703"/>
      <c r="F308" s="294" t="s">
        <v>1550</v>
      </c>
      <c r="G308" s="516"/>
      <c r="H308" s="516"/>
      <c r="I308" s="516"/>
      <c r="J308" s="516"/>
      <c r="K308" s="516"/>
      <c r="L308" s="516"/>
      <c r="M308" s="296"/>
      <c r="N308" s="296"/>
      <c r="O308" s="296"/>
      <c r="P308" s="296"/>
      <c r="Q308" s="296"/>
      <c r="R308" s="296"/>
      <c r="S308" s="296"/>
      <c r="T308" s="296"/>
      <c r="U308" s="296"/>
      <c r="V308" s="296"/>
      <c r="W308" s="296"/>
      <c r="X308" s="296"/>
      <c r="Y308" s="296"/>
      <c r="Z308" s="296"/>
      <c r="AA308" s="296"/>
      <c r="AB308" s="296"/>
      <c r="AC308" s="296"/>
      <c r="AD308" s="296"/>
      <c r="AE308" s="296"/>
      <c r="AF308" s="296"/>
      <c r="AG308" s="296"/>
      <c r="AH308" s="299">
        <v>2468</v>
      </c>
      <c r="AI308" s="296">
        <v>667</v>
      </c>
      <c r="AJ308" s="499">
        <f>SUM(AH308:AI308)</f>
        <v>3135</v>
      </c>
      <c r="AK308" s="296">
        <f t="shared" si="85"/>
        <v>151</v>
      </c>
      <c r="AL308" s="296">
        <f t="shared" si="85"/>
        <v>40</v>
      </c>
      <c r="AM308" s="296">
        <f t="shared" si="85"/>
        <v>191</v>
      </c>
      <c r="AN308" s="296">
        <v>2619</v>
      </c>
      <c r="AO308" s="296">
        <v>707</v>
      </c>
      <c r="AP308" s="296">
        <f t="shared" si="87"/>
        <v>3326</v>
      </c>
      <c r="AQ308" s="296">
        <f t="shared" si="86"/>
        <v>0</v>
      </c>
      <c r="AR308" s="296">
        <f t="shared" si="86"/>
        <v>0</v>
      </c>
      <c r="AS308" s="296">
        <f t="shared" si="86"/>
        <v>0</v>
      </c>
      <c r="AT308" s="296">
        <v>2619</v>
      </c>
      <c r="AU308" s="296">
        <v>707</v>
      </c>
      <c r="AV308" s="296">
        <f t="shared" si="88"/>
        <v>3326</v>
      </c>
      <c r="AW308" s="296"/>
      <c r="AX308" s="296"/>
      <c r="AY308" s="296"/>
      <c r="AZ308" s="296">
        <v>2619</v>
      </c>
      <c r="BA308" s="296">
        <v>707</v>
      </c>
      <c r="BB308" s="296">
        <v>3326</v>
      </c>
      <c r="BC308" s="499">
        <f t="shared" si="80"/>
        <v>0</v>
      </c>
      <c r="BD308" s="499">
        <f t="shared" si="80"/>
        <v>0</v>
      </c>
      <c r="BE308" s="499">
        <f t="shared" si="80"/>
        <v>0</v>
      </c>
      <c r="BF308" s="296">
        <v>2619</v>
      </c>
      <c r="BG308" s="296">
        <v>707</v>
      </c>
      <c r="BH308" s="296">
        <f t="shared" ref="BH308:BH314" si="89">SUM(BF308:BG308)</f>
        <v>3326</v>
      </c>
      <c r="BI308" s="723"/>
      <c r="BJ308" s="723"/>
      <c r="BK308" s="723"/>
      <c r="BL308" s="723"/>
      <c r="BM308" s="723"/>
      <c r="BN308" s="723"/>
      <c r="BO308" s="723"/>
      <c r="BP308" s="723"/>
      <c r="BQ308" s="723"/>
      <c r="BR308" s="723"/>
      <c r="BS308" s="723"/>
      <c r="BT308" s="723"/>
      <c r="BU308" s="723"/>
      <c r="BV308" s="723"/>
      <c r="BW308" s="723"/>
      <c r="BX308" s="723"/>
      <c r="BY308" s="723"/>
      <c r="BZ308" s="723"/>
      <c r="CA308" s="723"/>
      <c r="CB308" s="516">
        <v>2618611.0236220472</v>
      </c>
      <c r="CC308" s="297">
        <v>3326</v>
      </c>
      <c r="CD308" s="723"/>
    </row>
    <row r="309" spans="1:82" s="361" customFormat="1" x14ac:dyDescent="0.2">
      <c r="A309" s="703"/>
      <c r="B309" s="292" t="s">
        <v>1381</v>
      </c>
      <c r="C309" s="293" t="s">
        <v>918</v>
      </c>
      <c r="D309" s="314"/>
      <c r="E309" s="703"/>
      <c r="F309" s="294" t="s">
        <v>919</v>
      </c>
      <c r="G309" s="296"/>
      <c r="H309" s="296"/>
      <c r="I309" s="296"/>
      <c r="J309" s="296"/>
      <c r="K309" s="296"/>
      <c r="L309" s="296"/>
      <c r="M309" s="296"/>
      <c r="N309" s="296"/>
      <c r="O309" s="296"/>
      <c r="P309" s="296"/>
      <c r="Q309" s="296"/>
      <c r="R309" s="296"/>
      <c r="S309" s="296"/>
      <c r="T309" s="296"/>
      <c r="U309" s="296"/>
      <c r="V309" s="296"/>
      <c r="W309" s="296"/>
      <c r="X309" s="296"/>
      <c r="Y309" s="296"/>
      <c r="Z309" s="296"/>
      <c r="AA309" s="296"/>
      <c r="AB309" s="296"/>
      <c r="AC309" s="296"/>
      <c r="AD309" s="296"/>
      <c r="AE309" s="296"/>
      <c r="AF309" s="296"/>
      <c r="AG309" s="296"/>
      <c r="AH309" s="299"/>
      <c r="AI309" s="296"/>
      <c r="AJ309" s="499"/>
      <c r="AK309" s="296">
        <f t="shared" si="85"/>
        <v>2690</v>
      </c>
      <c r="AL309" s="296">
        <f t="shared" si="85"/>
        <v>726</v>
      </c>
      <c r="AM309" s="296">
        <f t="shared" si="85"/>
        <v>3416</v>
      </c>
      <c r="AN309" s="296">
        <v>2690</v>
      </c>
      <c r="AO309" s="296">
        <v>726</v>
      </c>
      <c r="AP309" s="296">
        <f t="shared" si="87"/>
        <v>3416</v>
      </c>
      <c r="AQ309" s="296">
        <f t="shared" si="86"/>
        <v>0</v>
      </c>
      <c r="AR309" s="296">
        <f t="shared" si="86"/>
        <v>0</v>
      </c>
      <c r="AS309" s="296">
        <f t="shared" si="86"/>
        <v>0</v>
      </c>
      <c r="AT309" s="296">
        <v>2690</v>
      </c>
      <c r="AU309" s="296">
        <v>726</v>
      </c>
      <c r="AV309" s="296">
        <f t="shared" si="88"/>
        <v>3416</v>
      </c>
      <c r="AW309" s="296"/>
      <c r="AX309" s="296"/>
      <c r="AY309" s="296"/>
      <c r="AZ309" s="296">
        <v>2690</v>
      </c>
      <c r="BA309" s="296">
        <v>726</v>
      </c>
      <c r="BB309" s="296">
        <v>3416</v>
      </c>
      <c r="BC309" s="499">
        <f t="shared" si="80"/>
        <v>0</v>
      </c>
      <c r="BD309" s="499">
        <f t="shared" si="80"/>
        <v>0</v>
      </c>
      <c r="BE309" s="499">
        <f t="shared" si="80"/>
        <v>0</v>
      </c>
      <c r="BF309" s="296">
        <v>2690</v>
      </c>
      <c r="BG309" s="296">
        <v>726</v>
      </c>
      <c r="BH309" s="296">
        <f t="shared" si="89"/>
        <v>3416</v>
      </c>
      <c r="BI309" s="723"/>
      <c r="BJ309" s="723"/>
      <c r="BK309" s="723"/>
      <c r="BL309" s="723"/>
      <c r="BM309" s="723"/>
      <c r="BN309" s="723"/>
      <c r="BO309" s="723"/>
      <c r="BP309" s="723"/>
      <c r="BQ309" s="723"/>
      <c r="BR309" s="723"/>
      <c r="BS309" s="723"/>
      <c r="BT309" s="723"/>
      <c r="BU309" s="723"/>
      <c r="BV309" s="723"/>
      <c r="BW309" s="723"/>
      <c r="BX309" s="723"/>
      <c r="BY309" s="723"/>
      <c r="BZ309" s="723"/>
      <c r="CA309" s="723"/>
      <c r="CB309" s="516">
        <v>2689750</v>
      </c>
      <c r="CC309" s="297">
        <v>3416</v>
      </c>
      <c r="CD309" s="723"/>
    </row>
    <row r="310" spans="1:82" s="361" customFormat="1" ht="22.5" x14ac:dyDescent="0.2">
      <c r="A310" s="703"/>
      <c r="B310" s="292" t="s">
        <v>1381</v>
      </c>
      <c r="C310" s="293" t="s">
        <v>920</v>
      </c>
      <c r="D310" s="314"/>
      <c r="E310" s="703"/>
      <c r="F310" s="294" t="s">
        <v>921</v>
      </c>
      <c r="G310" s="296"/>
      <c r="H310" s="296"/>
      <c r="I310" s="296"/>
      <c r="J310" s="296"/>
      <c r="K310" s="296"/>
      <c r="L310" s="296"/>
      <c r="M310" s="296"/>
      <c r="N310" s="296"/>
      <c r="O310" s="296"/>
      <c r="P310" s="296"/>
      <c r="Q310" s="296"/>
      <c r="R310" s="296"/>
      <c r="S310" s="296"/>
      <c r="T310" s="296"/>
      <c r="U310" s="296"/>
      <c r="V310" s="296"/>
      <c r="W310" s="296"/>
      <c r="X310" s="296"/>
      <c r="Y310" s="296"/>
      <c r="Z310" s="296"/>
      <c r="AA310" s="296"/>
      <c r="AB310" s="296"/>
      <c r="AC310" s="296"/>
      <c r="AD310" s="296"/>
      <c r="AE310" s="296"/>
      <c r="AF310" s="296"/>
      <c r="AG310" s="296"/>
      <c r="AH310" s="299"/>
      <c r="AI310" s="296"/>
      <c r="AJ310" s="499"/>
      <c r="AK310" s="296">
        <f t="shared" si="85"/>
        <v>152</v>
      </c>
      <c r="AL310" s="296">
        <f t="shared" si="85"/>
        <v>41</v>
      </c>
      <c r="AM310" s="296">
        <f t="shared" si="85"/>
        <v>193</v>
      </c>
      <c r="AN310" s="296">
        <v>152</v>
      </c>
      <c r="AO310" s="296">
        <v>41</v>
      </c>
      <c r="AP310" s="296">
        <f t="shared" si="87"/>
        <v>193</v>
      </c>
      <c r="AQ310" s="296">
        <f t="shared" si="86"/>
        <v>0</v>
      </c>
      <c r="AR310" s="296">
        <f t="shared" si="86"/>
        <v>0</v>
      </c>
      <c r="AS310" s="296">
        <f t="shared" si="86"/>
        <v>0</v>
      </c>
      <c r="AT310" s="296">
        <v>152</v>
      </c>
      <c r="AU310" s="296">
        <v>41</v>
      </c>
      <c r="AV310" s="296">
        <f t="shared" si="88"/>
        <v>193</v>
      </c>
      <c r="AW310" s="296"/>
      <c r="AX310" s="296"/>
      <c r="AY310" s="296"/>
      <c r="AZ310" s="296">
        <v>152</v>
      </c>
      <c r="BA310" s="296">
        <v>41</v>
      </c>
      <c r="BB310" s="296">
        <v>193</v>
      </c>
      <c r="BC310" s="499">
        <f t="shared" si="80"/>
        <v>0</v>
      </c>
      <c r="BD310" s="499">
        <f t="shared" si="80"/>
        <v>0</v>
      </c>
      <c r="BE310" s="499">
        <f t="shared" si="80"/>
        <v>0</v>
      </c>
      <c r="BF310" s="296">
        <v>152</v>
      </c>
      <c r="BG310" s="296">
        <v>41</v>
      </c>
      <c r="BH310" s="296">
        <f t="shared" si="89"/>
        <v>193</v>
      </c>
      <c r="BI310" s="723"/>
      <c r="BJ310" s="723"/>
      <c r="BK310" s="723"/>
      <c r="BL310" s="723"/>
      <c r="BM310" s="723"/>
      <c r="BN310" s="723"/>
      <c r="BO310" s="723"/>
      <c r="BP310" s="723"/>
      <c r="BQ310" s="723"/>
      <c r="BR310" s="723"/>
      <c r="BS310" s="723"/>
      <c r="BT310" s="723"/>
      <c r="BU310" s="723"/>
      <c r="BV310" s="723"/>
      <c r="BW310" s="723"/>
      <c r="BX310" s="723"/>
      <c r="BY310" s="723"/>
      <c r="BZ310" s="723"/>
      <c r="CA310" s="723"/>
      <c r="CB310" s="516">
        <v>152680</v>
      </c>
      <c r="CC310" s="297">
        <v>194</v>
      </c>
      <c r="CD310" s="723"/>
    </row>
    <row r="311" spans="1:82" s="361" customFormat="1" x14ac:dyDescent="0.2">
      <c r="A311" s="703"/>
      <c r="B311" s="292" t="s">
        <v>1381</v>
      </c>
      <c r="C311" s="293" t="s">
        <v>922</v>
      </c>
      <c r="D311" s="314"/>
      <c r="E311" s="703"/>
      <c r="F311" s="294" t="s">
        <v>923</v>
      </c>
      <c r="G311" s="296"/>
      <c r="H311" s="296"/>
      <c r="I311" s="296"/>
      <c r="J311" s="296"/>
      <c r="K311" s="296"/>
      <c r="L311" s="296"/>
      <c r="M311" s="296"/>
      <c r="N311" s="296"/>
      <c r="O311" s="296"/>
      <c r="P311" s="296"/>
      <c r="Q311" s="296"/>
      <c r="R311" s="296"/>
      <c r="S311" s="296"/>
      <c r="T311" s="296"/>
      <c r="U311" s="296"/>
      <c r="V311" s="296"/>
      <c r="W311" s="296"/>
      <c r="X311" s="296"/>
      <c r="Y311" s="296"/>
      <c r="Z311" s="296"/>
      <c r="AA311" s="296"/>
      <c r="AB311" s="296"/>
      <c r="AC311" s="296"/>
      <c r="AD311" s="296"/>
      <c r="AE311" s="296"/>
      <c r="AF311" s="296"/>
      <c r="AG311" s="296"/>
      <c r="AH311" s="299"/>
      <c r="AI311" s="296"/>
      <c r="AJ311" s="499"/>
      <c r="AK311" s="296">
        <f t="shared" si="85"/>
        <v>1301</v>
      </c>
      <c r="AL311" s="296">
        <f t="shared" si="85"/>
        <v>351</v>
      </c>
      <c r="AM311" s="296">
        <f t="shared" si="85"/>
        <v>1652</v>
      </c>
      <c r="AN311" s="296">
        <v>1301</v>
      </c>
      <c r="AO311" s="296">
        <v>351</v>
      </c>
      <c r="AP311" s="296">
        <f t="shared" si="87"/>
        <v>1652</v>
      </c>
      <c r="AQ311" s="296">
        <f t="shared" si="86"/>
        <v>0</v>
      </c>
      <c r="AR311" s="296">
        <f t="shared" si="86"/>
        <v>0</v>
      </c>
      <c r="AS311" s="296">
        <f t="shared" si="86"/>
        <v>0</v>
      </c>
      <c r="AT311" s="296">
        <v>1301</v>
      </c>
      <c r="AU311" s="296">
        <v>351</v>
      </c>
      <c r="AV311" s="296">
        <f t="shared" si="88"/>
        <v>1652</v>
      </c>
      <c r="AW311" s="296"/>
      <c r="AX311" s="296"/>
      <c r="AY311" s="296"/>
      <c r="AZ311" s="296">
        <v>1301</v>
      </c>
      <c r="BA311" s="296">
        <v>351</v>
      </c>
      <c r="BB311" s="296">
        <v>1652</v>
      </c>
      <c r="BC311" s="499">
        <f t="shared" si="80"/>
        <v>-1301</v>
      </c>
      <c r="BD311" s="499">
        <f t="shared" si="80"/>
        <v>-351</v>
      </c>
      <c r="BE311" s="499">
        <f t="shared" si="80"/>
        <v>-1652</v>
      </c>
      <c r="BF311" s="296">
        <v>0</v>
      </c>
      <c r="BG311" s="296">
        <v>0</v>
      </c>
      <c r="BH311" s="296">
        <f t="shared" si="89"/>
        <v>0</v>
      </c>
      <c r="BI311" s="723"/>
      <c r="BJ311" s="723"/>
      <c r="BK311" s="723"/>
      <c r="BL311" s="723"/>
      <c r="BM311" s="723"/>
      <c r="BN311" s="723"/>
      <c r="BO311" s="723"/>
      <c r="BP311" s="723"/>
      <c r="BQ311" s="723"/>
      <c r="BR311" s="723"/>
      <c r="BS311" s="723"/>
      <c r="BT311" s="723"/>
      <c r="BU311" s="723"/>
      <c r="BV311" s="723"/>
      <c r="BW311" s="723"/>
      <c r="BX311" s="723"/>
      <c r="BY311" s="723"/>
      <c r="BZ311" s="723"/>
      <c r="CA311" s="723"/>
      <c r="CB311" s="516"/>
      <c r="CC311" s="297">
        <v>0</v>
      </c>
      <c r="CD311" s="723"/>
    </row>
    <row r="312" spans="1:82" s="361" customFormat="1" x14ac:dyDescent="0.2">
      <c r="A312" s="703"/>
      <c r="B312" s="292" t="s">
        <v>1381</v>
      </c>
      <c r="C312" s="293" t="s">
        <v>924</v>
      </c>
      <c r="D312" s="314"/>
      <c r="E312" s="703"/>
      <c r="F312" s="294" t="s">
        <v>925</v>
      </c>
      <c r="G312" s="296"/>
      <c r="H312" s="296"/>
      <c r="I312" s="296"/>
      <c r="J312" s="296"/>
      <c r="K312" s="296"/>
      <c r="L312" s="296"/>
      <c r="M312" s="296"/>
      <c r="N312" s="296"/>
      <c r="O312" s="296"/>
      <c r="P312" s="296"/>
      <c r="Q312" s="296"/>
      <c r="R312" s="296"/>
      <c r="S312" s="296"/>
      <c r="T312" s="296"/>
      <c r="U312" s="296"/>
      <c r="V312" s="296"/>
      <c r="W312" s="296"/>
      <c r="X312" s="296"/>
      <c r="Y312" s="296"/>
      <c r="Z312" s="296"/>
      <c r="AA312" s="296"/>
      <c r="AB312" s="296"/>
      <c r="AC312" s="296"/>
      <c r="AD312" s="296"/>
      <c r="AE312" s="296"/>
      <c r="AF312" s="296"/>
      <c r="AG312" s="296"/>
      <c r="AH312" s="299"/>
      <c r="AI312" s="296"/>
      <c r="AJ312" s="499"/>
      <c r="AK312" s="296">
        <f t="shared" si="85"/>
        <v>753</v>
      </c>
      <c r="AL312" s="296">
        <f t="shared" si="85"/>
        <v>204</v>
      </c>
      <c r="AM312" s="296">
        <f t="shared" si="85"/>
        <v>957</v>
      </c>
      <c r="AN312" s="296">
        <v>753</v>
      </c>
      <c r="AO312" s="296">
        <v>204</v>
      </c>
      <c r="AP312" s="296">
        <f t="shared" si="87"/>
        <v>957</v>
      </c>
      <c r="AQ312" s="296">
        <f t="shared" si="86"/>
        <v>0</v>
      </c>
      <c r="AR312" s="296">
        <f t="shared" si="86"/>
        <v>0</v>
      </c>
      <c r="AS312" s="296">
        <f t="shared" si="86"/>
        <v>0</v>
      </c>
      <c r="AT312" s="296">
        <v>753</v>
      </c>
      <c r="AU312" s="296">
        <v>204</v>
      </c>
      <c r="AV312" s="296">
        <f t="shared" si="88"/>
        <v>957</v>
      </c>
      <c r="AW312" s="296"/>
      <c r="AX312" s="296"/>
      <c r="AY312" s="296"/>
      <c r="AZ312" s="296">
        <v>753</v>
      </c>
      <c r="BA312" s="296">
        <v>204</v>
      </c>
      <c r="BB312" s="296">
        <v>957</v>
      </c>
      <c r="BC312" s="499">
        <f t="shared" si="80"/>
        <v>0</v>
      </c>
      <c r="BD312" s="499">
        <f t="shared" si="80"/>
        <v>0</v>
      </c>
      <c r="BE312" s="499">
        <f t="shared" si="80"/>
        <v>0</v>
      </c>
      <c r="BF312" s="296">
        <v>753</v>
      </c>
      <c r="BG312" s="296">
        <v>204</v>
      </c>
      <c r="BH312" s="296">
        <f t="shared" si="89"/>
        <v>957</v>
      </c>
      <c r="BI312" s="723"/>
      <c r="BJ312" s="723"/>
      <c r="BK312" s="723"/>
      <c r="BL312" s="723"/>
      <c r="BM312" s="723"/>
      <c r="BN312" s="723"/>
      <c r="BO312" s="723"/>
      <c r="BP312" s="723"/>
      <c r="BQ312" s="723"/>
      <c r="BR312" s="723"/>
      <c r="BS312" s="723"/>
      <c r="BT312" s="723"/>
      <c r="BU312" s="723"/>
      <c r="BV312" s="723"/>
      <c r="BW312" s="723"/>
      <c r="BX312" s="723"/>
      <c r="BY312" s="723"/>
      <c r="BZ312" s="723"/>
      <c r="CA312" s="723"/>
      <c r="CB312" s="516">
        <v>753035</v>
      </c>
      <c r="CC312" s="297">
        <v>956</v>
      </c>
      <c r="CD312" s="723"/>
    </row>
    <row r="313" spans="1:82" s="361" customFormat="1" ht="27" customHeight="1" x14ac:dyDescent="0.2">
      <c r="A313" s="703"/>
      <c r="B313" s="292" t="s">
        <v>1381</v>
      </c>
      <c r="C313" s="293" t="s">
        <v>926</v>
      </c>
      <c r="D313" s="314"/>
      <c r="E313" s="703"/>
      <c r="F313" s="294" t="s">
        <v>927</v>
      </c>
      <c r="G313" s="296"/>
      <c r="H313" s="296"/>
      <c r="I313" s="296"/>
      <c r="J313" s="296"/>
      <c r="K313" s="296"/>
      <c r="L313" s="296"/>
      <c r="M313" s="296"/>
      <c r="N313" s="296"/>
      <c r="O313" s="296"/>
      <c r="P313" s="296"/>
      <c r="Q313" s="296"/>
      <c r="R313" s="296"/>
      <c r="S313" s="296"/>
      <c r="T313" s="296"/>
      <c r="U313" s="296"/>
      <c r="V313" s="296"/>
      <c r="W313" s="296"/>
      <c r="X313" s="296"/>
      <c r="Y313" s="296"/>
      <c r="Z313" s="296"/>
      <c r="AA313" s="296"/>
      <c r="AB313" s="296"/>
      <c r="AC313" s="296"/>
      <c r="AD313" s="296"/>
      <c r="AE313" s="296"/>
      <c r="AF313" s="296"/>
      <c r="AG313" s="296"/>
      <c r="AH313" s="299"/>
      <c r="AI313" s="296"/>
      <c r="AJ313" s="499"/>
      <c r="AK313" s="296">
        <f t="shared" si="85"/>
        <v>5273</v>
      </c>
      <c r="AL313" s="296">
        <f t="shared" si="85"/>
        <v>1424</v>
      </c>
      <c r="AM313" s="296">
        <f t="shared" si="85"/>
        <v>6697</v>
      </c>
      <c r="AN313" s="296">
        <v>5273</v>
      </c>
      <c r="AO313" s="296">
        <v>1424</v>
      </c>
      <c r="AP313" s="296">
        <f t="shared" si="87"/>
        <v>6697</v>
      </c>
      <c r="AQ313" s="296">
        <f t="shared" si="86"/>
        <v>0</v>
      </c>
      <c r="AR313" s="296">
        <f t="shared" si="86"/>
        <v>0</v>
      </c>
      <c r="AS313" s="296">
        <f t="shared" si="86"/>
        <v>0</v>
      </c>
      <c r="AT313" s="296">
        <v>5273</v>
      </c>
      <c r="AU313" s="296">
        <v>1424</v>
      </c>
      <c r="AV313" s="296">
        <f t="shared" si="88"/>
        <v>6697</v>
      </c>
      <c r="AW313" s="296"/>
      <c r="AX313" s="296"/>
      <c r="AY313" s="296"/>
      <c r="AZ313" s="296">
        <v>5273</v>
      </c>
      <c r="BA313" s="296">
        <v>1424</v>
      </c>
      <c r="BB313" s="296">
        <v>6697</v>
      </c>
      <c r="BC313" s="499">
        <f t="shared" si="80"/>
        <v>0</v>
      </c>
      <c r="BD313" s="499">
        <f t="shared" si="80"/>
        <v>0</v>
      </c>
      <c r="BE313" s="499">
        <f t="shared" si="80"/>
        <v>0</v>
      </c>
      <c r="BF313" s="296">
        <v>5273</v>
      </c>
      <c r="BG313" s="296">
        <v>1424</v>
      </c>
      <c r="BH313" s="296">
        <f t="shared" si="89"/>
        <v>6697</v>
      </c>
      <c r="BI313" s="723"/>
      <c r="BJ313" s="723"/>
      <c r="BK313" s="723"/>
      <c r="BL313" s="723"/>
      <c r="BM313" s="723"/>
      <c r="BN313" s="723"/>
      <c r="BO313" s="723"/>
      <c r="BP313" s="723"/>
      <c r="BQ313" s="723"/>
      <c r="BR313" s="723"/>
      <c r="BS313" s="723"/>
      <c r="BT313" s="723"/>
      <c r="BU313" s="723"/>
      <c r="BV313" s="723"/>
      <c r="BW313" s="723"/>
      <c r="BX313" s="723"/>
      <c r="BY313" s="723"/>
      <c r="BZ313" s="723"/>
      <c r="CA313" s="723"/>
      <c r="CB313" s="516">
        <v>5273341</v>
      </c>
      <c r="CC313" s="297">
        <v>6697</v>
      </c>
      <c r="CD313" s="723"/>
    </row>
    <row r="314" spans="1:82" s="361" customFormat="1" x14ac:dyDescent="0.2">
      <c r="A314" s="703"/>
      <c r="B314" s="292" t="s">
        <v>1381</v>
      </c>
      <c r="C314" s="293" t="s">
        <v>1231</v>
      </c>
      <c r="D314" s="314"/>
      <c r="E314" s="703"/>
      <c r="F314" s="294" t="s">
        <v>1232</v>
      </c>
      <c r="G314" s="296"/>
      <c r="H314" s="296"/>
      <c r="I314" s="296"/>
      <c r="J314" s="296"/>
      <c r="K314" s="296"/>
      <c r="L314" s="296"/>
      <c r="M314" s="296"/>
      <c r="N314" s="296"/>
      <c r="O314" s="296"/>
      <c r="P314" s="296"/>
      <c r="Q314" s="296"/>
      <c r="R314" s="296"/>
      <c r="S314" s="296"/>
      <c r="T314" s="296"/>
      <c r="U314" s="296"/>
      <c r="V314" s="296"/>
      <c r="W314" s="296"/>
      <c r="X314" s="296"/>
      <c r="Y314" s="296"/>
      <c r="Z314" s="296"/>
      <c r="AA314" s="296"/>
      <c r="AB314" s="296"/>
      <c r="AC314" s="296"/>
      <c r="AD314" s="296"/>
      <c r="AE314" s="296"/>
      <c r="AF314" s="296"/>
      <c r="AG314" s="296"/>
      <c r="AH314" s="299"/>
      <c r="AI314" s="296"/>
      <c r="AJ314" s="499"/>
      <c r="AK314" s="296"/>
      <c r="AL314" s="296"/>
      <c r="AM314" s="296"/>
      <c r="AN314" s="296"/>
      <c r="AO314" s="296"/>
      <c r="AP314" s="296"/>
      <c r="AQ314" s="296">
        <f t="shared" si="86"/>
        <v>505</v>
      </c>
      <c r="AR314" s="296">
        <f t="shared" si="86"/>
        <v>136</v>
      </c>
      <c r="AS314" s="296">
        <f t="shared" si="86"/>
        <v>641</v>
      </c>
      <c r="AT314" s="296">
        <v>505</v>
      </c>
      <c r="AU314" s="296">
        <v>136</v>
      </c>
      <c r="AV314" s="296">
        <f>SUM(AT314:AU314)</f>
        <v>641</v>
      </c>
      <c r="AW314" s="296"/>
      <c r="AX314" s="296"/>
      <c r="AY314" s="296"/>
      <c r="AZ314" s="296">
        <v>505</v>
      </c>
      <c r="BA314" s="296">
        <v>136</v>
      </c>
      <c r="BB314" s="296">
        <v>641</v>
      </c>
      <c r="BC314" s="499">
        <f t="shared" si="80"/>
        <v>0</v>
      </c>
      <c r="BD314" s="499">
        <f t="shared" si="80"/>
        <v>0</v>
      </c>
      <c r="BE314" s="499">
        <f t="shared" si="80"/>
        <v>0</v>
      </c>
      <c r="BF314" s="296">
        <v>505</v>
      </c>
      <c r="BG314" s="296">
        <v>136</v>
      </c>
      <c r="BH314" s="296">
        <f t="shared" si="89"/>
        <v>641</v>
      </c>
      <c r="BI314" s="723"/>
      <c r="BJ314" s="723"/>
      <c r="BK314" s="723"/>
      <c r="BL314" s="723"/>
      <c r="BM314" s="723"/>
      <c r="BN314" s="723"/>
      <c r="BO314" s="723"/>
      <c r="BP314" s="723"/>
      <c r="BQ314" s="723"/>
      <c r="BR314" s="723"/>
      <c r="BS314" s="723"/>
      <c r="BT314" s="723"/>
      <c r="BU314" s="723"/>
      <c r="BV314" s="723"/>
      <c r="BW314" s="723"/>
      <c r="BX314" s="723"/>
      <c r="BY314" s="723"/>
      <c r="BZ314" s="723"/>
      <c r="CA314" s="723"/>
      <c r="CB314" s="516">
        <v>505066</v>
      </c>
      <c r="CC314" s="297">
        <v>641</v>
      </c>
      <c r="CD314" s="723"/>
    </row>
    <row r="315" spans="1:82" s="361" customFormat="1" ht="14.25" customHeight="1" x14ac:dyDescent="0.2">
      <c r="A315" s="703"/>
      <c r="B315" s="292" t="s">
        <v>1381</v>
      </c>
      <c r="C315" s="293" t="s">
        <v>1551</v>
      </c>
      <c r="D315" s="314"/>
      <c r="E315" s="703"/>
      <c r="F315" s="294" t="s">
        <v>1552</v>
      </c>
      <c r="G315" s="296"/>
      <c r="H315" s="296"/>
      <c r="I315" s="296"/>
      <c r="J315" s="296"/>
      <c r="K315" s="296"/>
      <c r="L315" s="296"/>
      <c r="M315" s="296"/>
      <c r="N315" s="296"/>
      <c r="O315" s="296"/>
      <c r="P315" s="296"/>
      <c r="Q315" s="296"/>
      <c r="R315" s="296"/>
      <c r="S315" s="296"/>
      <c r="T315" s="296"/>
      <c r="U315" s="296"/>
      <c r="V315" s="296"/>
      <c r="W315" s="296"/>
      <c r="X315" s="296"/>
      <c r="Y315" s="296"/>
      <c r="Z315" s="296"/>
      <c r="AA315" s="296"/>
      <c r="AB315" s="296"/>
      <c r="AC315" s="296"/>
      <c r="AD315" s="296"/>
      <c r="AE315" s="296"/>
      <c r="AF315" s="296"/>
      <c r="AG315" s="296"/>
      <c r="AH315" s="299"/>
      <c r="AI315" s="296"/>
      <c r="AJ315" s="499"/>
      <c r="AK315" s="296"/>
      <c r="AL315" s="296"/>
      <c r="AM315" s="296"/>
      <c r="AN315" s="296"/>
      <c r="AO315" s="296"/>
      <c r="AP315" s="296"/>
      <c r="AQ315" s="296"/>
      <c r="AR315" s="296"/>
      <c r="AS315" s="296"/>
      <c r="AT315" s="296"/>
      <c r="AU315" s="296"/>
      <c r="AV315" s="296"/>
      <c r="AW315" s="296"/>
      <c r="AX315" s="296"/>
      <c r="AY315" s="296"/>
      <c r="AZ315" s="296"/>
      <c r="BA315" s="296"/>
      <c r="BB315" s="296"/>
      <c r="BC315" s="499">
        <f t="shared" si="80"/>
        <v>1071</v>
      </c>
      <c r="BD315" s="499">
        <f t="shared" si="80"/>
        <v>289</v>
      </c>
      <c r="BE315" s="499">
        <f t="shared" si="80"/>
        <v>1360</v>
      </c>
      <c r="BF315" s="296">
        <v>1071</v>
      </c>
      <c r="BG315" s="296">
        <v>289</v>
      </c>
      <c r="BH315" s="296">
        <f>SUM(BF315:BG315)</f>
        <v>1360</v>
      </c>
      <c r="BI315" s="723"/>
      <c r="BJ315" s="723"/>
      <c r="BK315" s="723"/>
      <c r="BL315" s="723"/>
      <c r="BM315" s="723"/>
      <c r="BN315" s="723"/>
      <c r="BO315" s="723"/>
      <c r="BP315" s="723"/>
      <c r="BQ315" s="723"/>
      <c r="BR315" s="723"/>
      <c r="BS315" s="723"/>
      <c r="BT315" s="723"/>
      <c r="BU315" s="723"/>
      <c r="BV315" s="723"/>
      <c r="BW315" s="723"/>
      <c r="BX315" s="723"/>
      <c r="BY315" s="723"/>
      <c r="BZ315" s="723"/>
      <c r="CA315" s="723"/>
      <c r="CB315" s="516">
        <v>1071000</v>
      </c>
      <c r="CC315" s="297">
        <v>1360</v>
      </c>
      <c r="CD315" s="723"/>
    </row>
    <row r="316" spans="1:82" s="361" customFormat="1" x14ac:dyDescent="0.2">
      <c r="A316" s="703"/>
      <c r="B316" s="292" t="s">
        <v>1381</v>
      </c>
      <c r="C316" s="293" t="s">
        <v>1553</v>
      </c>
      <c r="D316" s="314"/>
      <c r="E316" s="703"/>
      <c r="F316" s="294" t="s">
        <v>1554</v>
      </c>
      <c r="G316" s="296"/>
      <c r="H316" s="296"/>
      <c r="I316" s="296"/>
      <c r="J316" s="296"/>
      <c r="K316" s="296"/>
      <c r="L316" s="296"/>
      <c r="M316" s="296"/>
      <c r="N316" s="296"/>
      <c r="O316" s="296"/>
      <c r="P316" s="296"/>
      <c r="Q316" s="296"/>
      <c r="R316" s="296"/>
      <c r="S316" s="296"/>
      <c r="T316" s="296"/>
      <c r="U316" s="296"/>
      <c r="V316" s="296"/>
      <c r="W316" s="296"/>
      <c r="X316" s="296"/>
      <c r="Y316" s="296"/>
      <c r="Z316" s="296"/>
      <c r="AA316" s="296"/>
      <c r="AB316" s="296"/>
      <c r="AC316" s="296"/>
      <c r="AD316" s="296"/>
      <c r="AE316" s="296"/>
      <c r="AF316" s="296"/>
      <c r="AG316" s="296"/>
      <c r="AH316" s="299"/>
      <c r="AI316" s="296"/>
      <c r="AJ316" s="499"/>
      <c r="AK316" s="296"/>
      <c r="AL316" s="296"/>
      <c r="AM316" s="296"/>
      <c r="AN316" s="296"/>
      <c r="AO316" s="296"/>
      <c r="AP316" s="296"/>
      <c r="AQ316" s="296"/>
      <c r="AR316" s="296"/>
      <c r="AS316" s="296"/>
      <c r="AT316" s="296"/>
      <c r="AU316" s="296"/>
      <c r="AV316" s="296"/>
      <c r="AW316" s="296"/>
      <c r="AX316" s="296"/>
      <c r="AY316" s="296"/>
      <c r="AZ316" s="296"/>
      <c r="BA316" s="296"/>
      <c r="BB316" s="296"/>
      <c r="BC316" s="499">
        <f t="shared" si="80"/>
        <v>2405</v>
      </c>
      <c r="BD316" s="499">
        <f t="shared" si="80"/>
        <v>649</v>
      </c>
      <c r="BE316" s="499">
        <f t="shared" si="80"/>
        <v>3054</v>
      </c>
      <c r="BF316" s="296">
        <v>2405</v>
      </c>
      <c r="BG316" s="296">
        <v>649</v>
      </c>
      <c r="BH316" s="296">
        <f>SUM(BF316:BG316)</f>
        <v>3054</v>
      </c>
      <c r="BI316" s="723"/>
      <c r="BJ316" s="723"/>
      <c r="BK316" s="723"/>
      <c r="BL316" s="723"/>
      <c r="BM316" s="723"/>
      <c r="BN316" s="723"/>
      <c r="BO316" s="723"/>
      <c r="BP316" s="723"/>
      <c r="BQ316" s="723"/>
      <c r="BR316" s="723"/>
      <c r="BS316" s="723"/>
      <c r="BT316" s="723"/>
      <c r="BU316" s="723"/>
      <c r="BV316" s="723"/>
      <c r="BW316" s="723"/>
      <c r="BX316" s="723"/>
      <c r="BY316" s="723"/>
      <c r="BZ316" s="723"/>
      <c r="CA316" s="723"/>
      <c r="CB316" s="516">
        <v>2404738</v>
      </c>
      <c r="CC316" s="297">
        <v>3054</v>
      </c>
      <c r="CD316" s="723"/>
    </row>
    <row r="317" spans="1:82" s="361" customFormat="1" x14ac:dyDescent="0.2">
      <c r="A317" s="703"/>
      <c r="B317" s="292" t="s">
        <v>1381</v>
      </c>
      <c r="C317" s="293" t="s">
        <v>1555</v>
      </c>
      <c r="D317" s="314"/>
      <c r="E317" s="703"/>
      <c r="F317" s="294" t="s">
        <v>1556</v>
      </c>
      <c r="G317" s="296"/>
      <c r="H317" s="296"/>
      <c r="I317" s="296"/>
      <c r="J317" s="296"/>
      <c r="K317" s="296"/>
      <c r="L317" s="296"/>
      <c r="M317" s="296"/>
      <c r="N317" s="296"/>
      <c r="O317" s="296"/>
      <c r="P317" s="296"/>
      <c r="Q317" s="296"/>
      <c r="R317" s="296"/>
      <c r="S317" s="296"/>
      <c r="T317" s="296"/>
      <c r="U317" s="296"/>
      <c r="V317" s="296"/>
      <c r="W317" s="296"/>
      <c r="X317" s="296"/>
      <c r="Y317" s="296"/>
      <c r="Z317" s="296"/>
      <c r="AA317" s="296"/>
      <c r="AB317" s="296"/>
      <c r="AC317" s="296"/>
      <c r="AD317" s="296"/>
      <c r="AE317" s="296"/>
      <c r="AF317" s="296"/>
      <c r="AG317" s="296"/>
      <c r="AH317" s="299"/>
      <c r="AI317" s="296"/>
      <c r="AJ317" s="499"/>
      <c r="AK317" s="296"/>
      <c r="AL317" s="296"/>
      <c r="AM317" s="296"/>
      <c r="AN317" s="296"/>
      <c r="AO317" s="296"/>
      <c r="AP317" s="296"/>
      <c r="AQ317" s="296"/>
      <c r="AR317" s="296"/>
      <c r="AS317" s="296"/>
      <c r="AT317" s="296"/>
      <c r="AU317" s="296"/>
      <c r="AV317" s="296"/>
      <c r="AW317" s="296"/>
      <c r="AX317" s="296"/>
      <c r="AY317" s="296"/>
      <c r="AZ317" s="296"/>
      <c r="BA317" s="296"/>
      <c r="BB317" s="296"/>
      <c r="BC317" s="499">
        <f t="shared" si="80"/>
        <v>136</v>
      </c>
      <c r="BD317" s="499">
        <f t="shared" si="80"/>
        <v>37</v>
      </c>
      <c r="BE317" s="499">
        <f t="shared" si="80"/>
        <v>173</v>
      </c>
      <c r="BF317" s="296">
        <v>136</v>
      </c>
      <c r="BG317" s="296">
        <v>37</v>
      </c>
      <c r="BH317" s="296">
        <f>SUM(BF317:BG317)</f>
        <v>173</v>
      </c>
      <c r="BI317" s="723"/>
      <c r="BJ317" s="723"/>
      <c r="BK317" s="723"/>
      <c r="BL317" s="723"/>
      <c r="BM317" s="723"/>
      <c r="BN317" s="723"/>
      <c r="BO317" s="723"/>
      <c r="BP317" s="723"/>
      <c r="BQ317" s="723"/>
      <c r="BR317" s="723"/>
      <c r="BS317" s="723"/>
      <c r="BT317" s="723"/>
      <c r="BU317" s="723"/>
      <c r="BV317" s="723"/>
      <c r="BW317" s="723"/>
      <c r="BX317" s="723"/>
      <c r="BY317" s="723"/>
      <c r="BZ317" s="723"/>
      <c r="CA317" s="723"/>
      <c r="CB317" s="516">
        <v>136029</v>
      </c>
      <c r="CC317" s="297">
        <v>173</v>
      </c>
      <c r="CD317" s="723"/>
    </row>
    <row r="318" spans="1:82" s="361" customFormat="1" x14ac:dyDescent="0.2">
      <c r="A318" s="703"/>
      <c r="B318" s="292" t="s">
        <v>1381</v>
      </c>
      <c r="C318" s="293" t="s">
        <v>1557</v>
      </c>
      <c r="D318" s="314"/>
      <c r="E318" s="703"/>
      <c r="F318" s="294" t="s">
        <v>1558</v>
      </c>
      <c r="G318" s="296"/>
      <c r="H318" s="296"/>
      <c r="I318" s="296"/>
      <c r="J318" s="296"/>
      <c r="K318" s="296"/>
      <c r="L318" s="296"/>
      <c r="M318" s="296"/>
      <c r="N318" s="296"/>
      <c r="O318" s="296"/>
      <c r="P318" s="296"/>
      <c r="Q318" s="296"/>
      <c r="R318" s="296"/>
      <c r="S318" s="296"/>
      <c r="T318" s="296"/>
      <c r="U318" s="296"/>
      <c r="V318" s="296"/>
      <c r="W318" s="296"/>
      <c r="X318" s="296"/>
      <c r="Y318" s="296"/>
      <c r="Z318" s="296"/>
      <c r="AA318" s="296"/>
      <c r="AB318" s="296"/>
      <c r="AC318" s="296"/>
      <c r="AD318" s="296"/>
      <c r="AE318" s="296"/>
      <c r="AF318" s="296"/>
      <c r="AG318" s="296"/>
      <c r="AH318" s="299"/>
      <c r="AI318" s="296"/>
      <c r="AJ318" s="499"/>
      <c r="AK318" s="296"/>
      <c r="AL318" s="296"/>
      <c r="AM318" s="296"/>
      <c r="AN318" s="296"/>
      <c r="AO318" s="296"/>
      <c r="AP318" s="296"/>
      <c r="AQ318" s="296"/>
      <c r="AR318" s="296"/>
      <c r="AS318" s="296"/>
      <c r="AT318" s="296"/>
      <c r="AU318" s="296"/>
      <c r="AV318" s="296"/>
      <c r="AW318" s="296"/>
      <c r="AX318" s="296"/>
      <c r="AY318" s="296"/>
      <c r="AZ318" s="296"/>
      <c r="BA318" s="296"/>
      <c r="BB318" s="296"/>
      <c r="BC318" s="499">
        <f t="shared" si="80"/>
        <v>1100</v>
      </c>
      <c r="BD318" s="499">
        <f t="shared" si="80"/>
        <v>297</v>
      </c>
      <c r="BE318" s="499">
        <f t="shared" si="80"/>
        <v>1397</v>
      </c>
      <c r="BF318" s="296">
        <v>1100</v>
      </c>
      <c r="BG318" s="296">
        <v>297</v>
      </c>
      <c r="BH318" s="296">
        <f>SUM(BF318:BG318)</f>
        <v>1397</v>
      </c>
      <c r="BI318" s="723"/>
      <c r="BJ318" s="723"/>
      <c r="BK318" s="723"/>
      <c r="BL318" s="723"/>
      <c r="BM318" s="723"/>
      <c r="BN318" s="723"/>
      <c r="BO318" s="723"/>
      <c r="BP318" s="723"/>
      <c r="BQ318" s="723"/>
      <c r="BR318" s="723"/>
      <c r="BS318" s="723"/>
      <c r="BT318" s="723"/>
      <c r="BU318" s="723"/>
      <c r="BV318" s="723"/>
      <c r="BW318" s="723"/>
      <c r="BX318" s="723"/>
      <c r="BY318" s="723"/>
      <c r="BZ318" s="723"/>
      <c r="CA318" s="723"/>
      <c r="CB318" s="516">
        <v>1100000</v>
      </c>
      <c r="CC318" s="297">
        <v>1397</v>
      </c>
      <c r="CD318" s="723"/>
    </row>
    <row r="319" spans="1:82" s="361" customFormat="1" x14ac:dyDescent="0.2">
      <c r="A319" s="703"/>
      <c r="B319" s="292" t="s">
        <v>1381</v>
      </c>
      <c r="C319" s="293" t="s">
        <v>1559</v>
      </c>
      <c r="D319" s="314"/>
      <c r="E319" s="703"/>
      <c r="F319" s="294" t="s">
        <v>1560</v>
      </c>
      <c r="G319" s="296"/>
      <c r="H319" s="296"/>
      <c r="I319" s="296"/>
      <c r="J319" s="296"/>
      <c r="K319" s="296"/>
      <c r="L319" s="296"/>
      <c r="M319" s="296"/>
      <c r="N319" s="296"/>
      <c r="O319" s="296"/>
      <c r="P319" s="296"/>
      <c r="Q319" s="296"/>
      <c r="R319" s="296"/>
      <c r="S319" s="296"/>
      <c r="T319" s="296"/>
      <c r="U319" s="296"/>
      <c r="V319" s="296"/>
      <c r="W319" s="296"/>
      <c r="X319" s="296"/>
      <c r="Y319" s="296"/>
      <c r="Z319" s="296"/>
      <c r="AA319" s="296"/>
      <c r="AB319" s="296"/>
      <c r="AC319" s="296"/>
      <c r="AD319" s="296"/>
      <c r="AE319" s="296"/>
      <c r="AF319" s="296"/>
      <c r="AG319" s="296"/>
      <c r="AH319" s="299"/>
      <c r="AI319" s="296"/>
      <c r="AJ319" s="499"/>
      <c r="AK319" s="296"/>
      <c r="AL319" s="296"/>
      <c r="AM319" s="296"/>
      <c r="AN319" s="296"/>
      <c r="AO319" s="296"/>
      <c r="AP319" s="296"/>
      <c r="AQ319" s="296"/>
      <c r="AR319" s="296"/>
      <c r="AS319" s="296"/>
      <c r="AT319" s="296"/>
      <c r="AU319" s="296"/>
      <c r="AV319" s="296"/>
      <c r="AW319" s="296"/>
      <c r="AX319" s="296"/>
      <c r="AY319" s="296"/>
      <c r="AZ319" s="296"/>
      <c r="BA319" s="296"/>
      <c r="BB319" s="296"/>
      <c r="BC319" s="499">
        <f t="shared" si="80"/>
        <v>3308</v>
      </c>
      <c r="BD319" s="499">
        <f t="shared" si="80"/>
        <v>893</v>
      </c>
      <c r="BE319" s="499">
        <f t="shared" si="80"/>
        <v>4201</v>
      </c>
      <c r="BF319" s="296">
        <v>3308</v>
      </c>
      <c r="BG319" s="296">
        <v>893</v>
      </c>
      <c r="BH319" s="296">
        <f>SUM(BF319:BG319)</f>
        <v>4201</v>
      </c>
      <c r="BI319" s="723"/>
      <c r="BJ319" s="723"/>
      <c r="BK319" s="723"/>
      <c r="BL319" s="723"/>
      <c r="BM319" s="723"/>
      <c r="BN319" s="723"/>
      <c r="BO319" s="723"/>
      <c r="BP319" s="723"/>
      <c r="BQ319" s="723"/>
      <c r="BR319" s="723"/>
      <c r="BS319" s="723"/>
      <c r="BT319" s="723"/>
      <c r="BU319" s="723"/>
      <c r="BV319" s="723"/>
      <c r="BW319" s="723"/>
      <c r="BX319" s="723"/>
      <c r="BY319" s="723"/>
      <c r="BZ319" s="723"/>
      <c r="CA319" s="723"/>
      <c r="CB319" s="516">
        <v>3307844</v>
      </c>
      <c r="CC319" s="297">
        <v>4201</v>
      </c>
      <c r="CD319" s="723"/>
    </row>
    <row r="320" spans="1:82" s="361" customFormat="1" ht="15" customHeight="1" x14ac:dyDescent="0.2">
      <c r="A320" s="703"/>
      <c r="B320" s="292" t="s">
        <v>1381</v>
      </c>
      <c r="C320" s="329" t="s">
        <v>915</v>
      </c>
      <c r="D320" s="314"/>
      <c r="E320" s="703"/>
      <c r="F320" s="294" t="s">
        <v>1561</v>
      </c>
      <c r="G320" s="296"/>
      <c r="H320" s="296"/>
      <c r="I320" s="296"/>
      <c r="J320" s="296"/>
      <c r="K320" s="296"/>
      <c r="L320" s="296"/>
      <c r="M320" s="296"/>
      <c r="N320" s="296"/>
      <c r="O320" s="296"/>
      <c r="P320" s="296"/>
      <c r="Q320" s="296"/>
      <c r="R320" s="296"/>
      <c r="S320" s="296"/>
      <c r="T320" s="296"/>
      <c r="U320" s="296"/>
      <c r="V320" s="296"/>
      <c r="W320" s="296"/>
      <c r="X320" s="296"/>
      <c r="Y320" s="296"/>
      <c r="Z320" s="296"/>
      <c r="AA320" s="296"/>
      <c r="AB320" s="296"/>
      <c r="AC320" s="296"/>
      <c r="AD320" s="296"/>
      <c r="AE320" s="296"/>
      <c r="AF320" s="296"/>
      <c r="AG320" s="296"/>
      <c r="AH320" s="299"/>
      <c r="AI320" s="296"/>
      <c r="AJ320" s="499"/>
      <c r="AK320" s="296"/>
      <c r="AL320" s="296"/>
      <c r="AM320" s="296"/>
      <c r="AN320" s="296"/>
      <c r="AO320" s="296"/>
      <c r="AP320" s="296"/>
      <c r="AQ320" s="296"/>
      <c r="AR320" s="296"/>
      <c r="AS320" s="296"/>
      <c r="AT320" s="296"/>
      <c r="AU320" s="296"/>
      <c r="AV320" s="296"/>
      <c r="AW320" s="296"/>
      <c r="AX320" s="296"/>
      <c r="AY320" s="296"/>
      <c r="AZ320" s="296"/>
      <c r="BA320" s="296"/>
      <c r="BB320" s="296"/>
      <c r="BC320" s="499">
        <f t="shared" ref="BC320:BE335" si="90">BF320-AT320</f>
        <v>672</v>
      </c>
      <c r="BD320" s="499">
        <f t="shared" si="90"/>
        <v>181</v>
      </c>
      <c r="BE320" s="499">
        <f t="shared" si="90"/>
        <v>853</v>
      </c>
      <c r="BF320" s="296">
        <v>672</v>
      </c>
      <c r="BG320" s="296">
        <v>181</v>
      </c>
      <c r="BH320" s="296">
        <f t="shared" ref="BH320:BH322" si="91">SUM(BF320:BG320)</f>
        <v>853</v>
      </c>
      <c r="BI320" s="723"/>
      <c r="BJ320" s="723"/>
      <c r="BK320" s="723"/>
      <c r="BL320" s="723"/>
      <c r="BM320" s="723"/>
      <c r="BN320" s="723"/>
      <c r="BO320" s="723"/>
      <c r="BP320" s="723"/>
      <c r="BQ320" s="723"/>
      <c r="BR320" s="723"/>
      <c r="BS320" s="723"/>
      <c r="BT320" s="723"/>
      <c r="BU320" s="723"/>
      <c r="BV320" s="723"/>
      <c r="BW320" s="723"/>
      <c r="BX320" s="723"/>
      <c r="BY320" s="723"/>
      <c r="BZ320" s="723"/>
      <c r="CA320" s="723"/>
      <c r="CB320" s="516">
        <v>671865</v>
      </c>
      <c r="CC320" s="297">
        <v>853</v>
      </c>
      <c r="CD320" s="723"/>
    </row>
    <row r="321" spans="1:82" s="361" customFormat="1" x14ac:dyDescent="0.2">
      <c r="A321" s="703"/>
      <c r="B321" s="292" t="s">
        <v>1381</v>
      </c>
      <c r="C321" s="329" t="s">
        <v>915</v>
      </c>
      <c r="D321" s="314"/>
      <c r="E321" s="703"/>
      <c r="F321" s="294" t="s">
        <v>1562</v>
      </c>
      <c r="G321" s="296"/>
      <c r="H321" s="296"/>
      <c r="I321" s="296"/>
      <c r="J321" s="296"/>
      <c r="K321" s="296"/>
      <c r="L321" s="296"/>
      <c r="M321" s="296"/>
      <c r="N321" s="296"/>
      <c r="O321" s="296"/>
      <c r="P321" s="296"/>
      <c r="Q321" s="296"/>
      <c r="R321" s="296"/>
      <c r="S321" s="296"/>
      <c r="T321" s="296"/>
      <c r="U321" s="296"/>
      <c r="V321" s="296"/>
      <c r="W321" s="296"/>
      <c r="X321" s="296"/>
      <c r="Y321" s="296"/>
      <c r="Z321" s="296"/>
      <c r="AA321" s="296"/>
      <c r="AB321" s="296"/>
      <c r="AC321" s="296"/>
      <c r="AD321" s="296"/>
      <c r="AE321" s="296"/>
      <c r="AF321" s="296"/>
      <c r="AG321" s="296"/>
      <c r="AH321" s="299"/>
      <c r="AI321" s="296"/>
      <c r="AJ321" s="499"/>
      <c r="AK321" s="296"/>
      <c r="AL321" s="296"/>
      <c r="AM321" s="296"/>
      <c r="AN321" s="296"/>
      <c r="AO321" s="296"/>
      <c r="AP321" s="296"/>
      <c r="AQ321" s="296"/>
      <c r="AR321" s="296"/>
      <c r="AS321" s="296"/>
      <c r="AT321" s="296"/>
      <c r="AU321" s="296"/>
      <c r="AV321" s="296"/>
      <c r="AW321" s="296"/>
      <c r="AX321" s="296"/>
      <c r="AY321" s="296"/>
      <c r="AZ321" s="296"/>
      <c r="BA321" s="296"/>
      <c r="BB321" s="296"/>
      <c r="BC321" s="499">
        <f t="shared" si="90"/>
        <v>2606</v>
      </c>
      <c r="BD321" s="499">
        <f t="shared" si="90"/>
        <v>703</v>
      </c>
      <c r="BE321" s="499">
        <f t="shared" si="90"/>
        <v>3309</v>
      </c>
      <c r="BF321" s="296">
        <v>2606</v>
      </c>
      <c r="BG321" s="296">
        <v>703</v>
      </c>
      <c r="BH321" s="296">
        <f t="shared" si="91"/>
        <v>3309</v>
      </c>
      <c r="BI321" s="723"/>
      <c r="BJ321" s="723"/>
      <c r="BK321" s="723"/>
      <c r="BL321" s="723"/>
      <c r="BM321" s="723"/>
      <c r="BN321" s="723"/>
      <c r="BO321" s="723"/>
      <c r="BP321" s="723"/>
      <c r="BQ321" s="723"/>
      <c r="BR321" s="723"/>
      <c r="BS321" s="723"/>
      <c r="BT321" s="723"/>
      <c r="BU321" s="723"/>
      <c r="BV321" s="723"/>
      <c r="BW321" s="723"/>
      <c r="BX321" s="723"/>
      <c r="BY321" s="723"/>
      <c r="BZ321" s="723"/>
      <c r="CA321" s="723"/>
      <c r="CB321" s="516">
        <v>2605671</v>
      </c>
      <c r="CC321" s="297">
        <v>3309</v>
      </c>
      <c r="CD321" s="723"/>
    </row>
    <row r="322" spans="1:82" s="361" customFormat="1" ht="14.25" customHeight="1" x14ac:dyDescent="0.2">
      <c r="A322" s="703"/>
      <c r="B322" s="292" t="s">
        <v>1381</v>
      </c>
      <c r="C322" s="329" t="s">
        <v>915</v>
      </c>
      <c r="D322" s="314"/>
      <c r="E322" s="703"/>
      <c r="F322" s="294" t="s">
        <v>1563</v>
      </c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6"/>
      <c r="W322" s="296"/>
      <c r="X322" s="296"/>
      <c r="Y322" s="296"/>
      <c r="Z322" s="296"/>
      <c r="AA322" s="296"/>
      <c r="AB322" s="296"/>
      <c r="AC322" s="296"/>
      <c r="AD322" s="296"/>
      <c r="AE322" s="296"/>
      <c r="AF322" s="296"/>
      <c r="AG322" s="296"/>
      <c r="AH322" s="299"/>
      <c r="AI322" s="296"/>
      <c r="AJ322" s="499"/>
      <c r="AK322" s="296"/>
      <c r="AL322" s="296"/>
      <c r="AM322" s="296"/>
      <c r="AN322" s="296"/>
      <c r="AO322" s="296"/>
      <c r="AP322" s="296"/>
      <c r="AQ322" s="296"/>
      <c r="AR322" s="296"/>
      <c r="AS322" s="296"/>
      <c r="AT322" s="296"/>
      <c r="AU322" s="296"/>
      <c r="AV322" s="296"/>
      <c r="AW322" s="296"/>
      <c r="AX322" s="296"/>
      <c r="AY322" s="296"/>
      <c r="AZ322" s="296"/>
      <c r="BA322" s="296"/>
      <c r="BB322" s="296"/>
      <c r="BC322" s="499">
        <f t="shared" si="90"/>
        <v>719</v>
      </c>
      <c r="BD322" s="499">
        <f t="shared" si="90"/>
        <v>194</v>
      </c>
      <c r="BE322" s="499">
        <f t="shared" si="90"/>
        <v>913</v>
      </c>
      <c r="BF322" s="296">
        <v>719</v>
      </c>
      <c r="BG322" s="296">
        <v>194</v>
      </c>
      <c r="BH322" s="296">
        <f t="shared" si="91"/>
        <v>913</v>
      </c>
      <c r="BI322" s="723"/>
      <c r="BJ322" s="723"/>
      <c r="BK322" s="723"/>
      <c r="BL322" s="723"/>
      <c r="BM322" s="723"/>
      <c r="BN322" s="723"/>
      <c r="BO322" s="723"/>
      <c r="BP322" s="723"/>
      <c r="BQ322" s="723"/>
      <c r="BR322" s="723"/>
      <c r="BS322" s="723"/>
      <c r="BT322" s="723"/>
      <c r="BU322" s="723"/>
      <c r="BV322" s="723"/>
      <c r="BW322" s="723"/>
      <c r="BX322" s="723"/>
      <c r="BY322" s="723"/>
      <c r="BZ322" s="723"/>
      <c r="CA322" s="723"/>
      <c r="CB322" s="516">
        <v>718908</v>
      </c>
      <c r="CC322" s="297">
        <v>913</v>
      </c>
      <c r="CD322" s="723"/>
    </row>
    <row r="323" spans="1:82" s="361" customFormat="1" x14ac:dyDescent="0.2">
      <c r="A323" s="703"/>
      <c r="B323" s="292" t="s">
        <v>1381</v>
      </c>
      <c r="C323" s="329" t="s">
        <v>928</v>
      </c>
      <c r="D323" s="314"/>
      <c r="E323" s="703"/>
      <c r="F323" s="294" t="s">
        <v>1564</v>
      </c>
      <c r="G323" s="296"/>
      <c r="H323" s="296"/>
      <c r="I323" s="296"/>
      <c r="J323" s="296"/>
      <c r="K323" s="296"/>
      <c r="L323" s="296"/>
      <c r="M323" s="296"/>
      <c r="N323" s="296"/>
      <c r="O323" s="296"/>
      <c r="P323" s="296"/>
      <c r="Q323" s="296"/>
      <c r="R323" s="296"/>
      <c r="S323" s="296"/>
      <c r="T323" s="296"/>
      <c r="U323" s="296"/>
      <c r="V323" s="296"/>
      <c r="W323" s="296"/>
      <c r="X323" s="296"/>
      <c r="Y323" s="296"/>
      <c r="Z323" s="296"/>
      <c r="AA323" s="296"/>
      <c r="AB323" s="296"/>
      <c r="AC323" s="296"/>
      <c r="AD323" s="296"/>
      <c r="AE323" s="296"/>
      <c r="AF323" s="296"/>
      <c r="AG323" s="296"/>
      <c r="AH323" s="299">
        <v>5850</v>
      </c>
      <c r="AI323" s="296">
        <v>1579</v>
      </c>
      <c r="AJ323" s="499">
        <f>SUM(AH323:AI323)</f>
        <v>7429</v>
      </c>
      <c r="AK323" s="296">
        <f t="shared" ref="AK323:AM323" si="92">AN323-AH323</f>
        <v>0</v>
      </c>
      <c r="AL323" s="296">
        <f t="shared" si="92"/>
        <v>0</v>
      </c>
      <c r="AM323" s="296">
        <f t="shared" si="92"/>
        <v>0</v>
      </c>
      <c r="AN323" s="299">
        <v>5850</v>
      </c>
      <c r="AO323" s="296">
        <v>1579</v>
      </c>
      <c r="AP323" s="499">
        <f>SUM(AN323:AO323)</f>
        <v>7429</v>
      </c>
      <c r="AQ323" s="296">
        <f t="shared" ref="AQ323:AS323" si="93">AT323-AN323</f>
        <v>0</v>
      </c>
      <c r="AR323" s="296">
        <f t="shared" si="93"/>
        <v>0</v>
      </c>
      <c r="AS323" s="296">
        <f t="shared" si="93"/>
        <v>0</v>
      </c>
      <c r="AT323" s="296">
        <v>5850</v>
      </c>
      <c r="AU323" s="296">
        <v>1579</v>
      </c>
      <c r="AV323" s="296">
        <f t="shared" ref="AV323" si="94">SUM(AT323:AU323)</f>
        <v>7429</v>
      </c>
      <c r="AW323" s="296"/>
      <c r="AX323" s="296"/>
      <c r="AY323" s="296"/>
      <c r="AZ323" s="296">
        <v>5850</v>
      </c>
      <c r="BA323" s="296">
        <v>1579</v>
      </c>
      <c r="BB323" s="296">
        <v>7429</v>
      </c>
      <c r="BC323" s="499">
        <f t="shared" si="90"/>
        <v>0</v>
      </c>
      <c r="BD323" s="499">
        <f t="shared" si="90"/>
        <v>0</v>
      </c>
      <c r="BE323" s="499">
        <f t="shared" si="90"/>
        <v>0</v>
      </c>
      <c r="BF323" s="296">
        <v>5850</v>
      </c>
      <c r="BG323" s="296">
        <v>1579</v>
      </c>
      <c r="BH323" s="296">
        <v>7429</v>
      </c>
      <c r="BI323" s="723"/>
      <c r="BJ323" s="723"/>
      <c r="BK323" s="723"/>
      <c r="BL323" s="723"/>
      <c r="BM323" s="723"/>
      <c r="BN323" s="723"/>
      <c r="BO323" s="723"/>
      <c r="BP323" s="723"/>
      <c r="BQ323" s="723"/>
      <c r="BR323" s="723"/>
      <c r="BS323" s="723"/>
      <c r="BT323" s="723"/>
      <c r="BU323" s="723"/>
      <c r="BV323" s="723"/>
      <c r="BW323" s="723"/>
      <c r="BX323" s="723"/>
      <c r="BY323" s="723"/>
      <c r="BZ323" s="723"/>
      <c r="CA323" s="723"/>
      <c r="CB323" s="516">
        <v>5849718.8976377957</v>
      </c>
      <c r="CC323" s="297">
        <v>7429</v>
      </c>
      <c r="CD323" s="723"/>
    </row>
    <row r="324" spans="1:82" s="361" customFormat="1" x14ac:dyDescent="0.2">
      <c r="A324" s="703"/>
      <c r="B324" s="292" t="s">
        <v>1381</v>
      </c>
      <c r="C324" s="329" t="s">
        <v>1565</v>
      </c>
      <c r="D324" s="316"/>
      <c r="E324" s="703"/>
      <c r="F324" s="294" t="s">
        <v>1564</v>
      </c>
      <c r="G324" s="296"/>
      <c r="H324" s="296"/>
      <c r="I324" s="296"/>
      <c r="J324" s="296"/>
      <c r="K324" s="296"/>
      <c r="L324" s="296"/>
      <c r="M324" s="296"/>
      <c r="N324" s="296"/>
      <c r="O324" s="296"/>
      <c r="P324" s="296"/>
      <c r="Q324" s="296"/>
      <c r="R324" s="296"/>
      <c r="S324" s="296"/>
      <c r="T324" s="296"/>
      <c r="U324" s="296"/>
      <c r="V324" s="296"/>
      <c r="W324" s="296"/>
      <c r="X324" s="296"/>
      <c r="Y324" s="296"/>
      <c r="Z324" s="296"/>
      <c r="AA324" s="296"/>
      <c r="AB324" s="296"/>
      <c r="AC324" s="296"/>
      <c r="AD324" s="296"/>
      <c r="AE324" s="296"/>
      <c r="AF324" s="296"/>
      <c r="AG324" s="296"/>
      <c r="AH324" s="299"/>
      <c r="AI324" s="296"/>
      <c r="AJ324" s="499"/>
      <c r="AK324" s="296"/>
      <c r="AL324" s="296"/>
      <c r="AM324" s="296"/>
      <c r="AN324" s="299"/>
      <c r="AO324" s="296"/>
      <c r="AP324" s="499"/>
      <c r="AQ324" s="296"/>
      <c r="AR324" s="296"/>
      <c r="AS324" s="296"/>
      <c r="AT324" s="296"/>
      <c r="AU324" s="296"/>
      <c r="AV324" s="296"/>
      <c r="AW324" s="296"/>
      <c r="AX324" s="296"/>
      <c r="AY324" s="296"/>
      <c r="AZ324" s="296"/>
      <c r="BA324" s="296"/>
      <c r="BB324" s="296"/>
      <c r="BC324" s="499">
        <f t="shared" si="90"/>
        <v>1093</v>
      </c>
      <c r="BD324" s="499">
        <f t="shared" si="90"/>
        <v>297</v>
      </c>
      <c r="BE324" s="499">
        <f t="shared" si="90"/>
        <v>1390</v>
      </c>
      <c r="BF324" s="296">
        <v>1093</v>
      </c>
      <c r="BG324" s="296">
        <v>297</v>
      </c>
      <c r="BH324" s="296">
        <f>SUM(BF324:BG324)</f>
        <v>1390</v>
      </c>
      <c r="BI324" s="723"/>
      <c r="BJ324" s="723"/>
      <c r="BK324" s="723"/>
      <c r="BL324" s="723"/>
      <c r="BM324" s="723"/>
      <c r="BN324" s="723"/>
      <c r="BO324" s="723"/>
      <c r="BP324" s="723"/>
      <c r="BQ324" s="723"/>
      <c r="BR324" s="723"/>
      <c r="BS324" s="723"/>
      <c r="BT324" s="723"/>
      <c r="BU324" s="723"/>
      <c r="BV324" s="723"/>
      <c r="BW324" s="723"/>
      <c r="BX324" s="723"/>
      <c r="BY324" s="723"/>
      <c r="BZ324" s="723"/>
      <c r="CA324" s="723"/>
      <c r="CB324" s="516">
        <v>1094383</v>
      </c>
      <c r="CC324" s="297">
        <v>1390</v>
      </c>
      <c r="CD324" s="724"/>
    </row>
    <row r="325" spans="1:82" x14ac:dyDescent="0.2">
      <c r="A325" s="702" t="s">
        <v>422</v>
      </c>
      <c r="B325" s="292" t="s">
        <v>1381</v>
      </c>
      <c r="C325" s="293" t="s">
        <v>1143</v>
      </c>
      <c r="D325" s="314"/>
      <c r="E325" s="702" t="s">
        <v>929</v>
      </c>
      <c r="F325" s="302" t="s">
        <v>1566</v>
      </c>
      <c r="G325" s="552"/>
      <c r="H325" s="552"/>
      <c r="I325" s="553"/>
      <c r="J325" s="516"/>
      <c r="K325" s="516"/>
      <c r="L325" s="516"/>
      <c r="M325" s="296"/>
      <c r="N325" s="296"/>
      <c r="O325" s="296"/>
      <c r="P325" s="296"/>
      <c r="Q325" s="296"/>
      <c r="R325" s="296"/>
      <c r="S325" s="296"/>
      <c r="T325" s="296"/>
      <c r="U325" s="296"/>
      <c r="V325" s="296"/>
      <c r="W325" s="296"/>
      <c r="X325" s="296"/>
      <c r="Y325" s="296"/>
      <c r="Z325" s="296"/>
      <c r="AA325" s="296"/>
      <c r="AB325" s="296"/>
      <c r="AC325" s="296"/>
      <c r="AD325" s="296"/>
      <c r="AE325" s="296"/>
      <c r="AF325" s="296"/>
      <c r="AG325" s="296"/>
      <c r="AH325" s="299">
        <v>27559</v>
      </c>
      <c r="AI325" s="296">
        <v>7441</v>
      </c>
      <c r="AJ325" s="296">
        <v>35000</v>
      </c>
      <c r="AK325" s="516">
        <f t="shared" si="85"/>
        <v>-27559</v>
      </c>
      <c r="AL325" s="516">
        <f t="shared" si="85"/>
        <v>-7441</v>
      </c>
      <c r="AM325" s="516">
        <f t="shared" si="85"/>
        <v>-35000</v>
      </c>
      <c r="AN325" s="516">
        <v>0</v>
      </c>
      <c r="AO325" s="516">
        <v>0</v>
      </c>
      <c r="AP325" s="516">
        <v>0</v>
      </c>
      <c r="AQ325" s="296">
        <f t="shared" si="86"/>
        <v>0</v>
      </c>
      <c r="AR325" s="296">
        <f t="shared" si="86"/>
        <v>0</v>
      </c>
      <c r="AS325" s="296">
        <f t="shared" si="86"/>
        <v>0</v>
      </c>
      <c r="AT325" s="296">
        <v>0</v>
      </c>
      <c r="AU325" s="296">
        <v>0</v>
      </c>
      <c r="AV325" s="296">
        <v>0</v>
      </c>
      <c r="AW325" s="296"/>
      <c r="AX325" s="296"/>
      <c r="AY325" s="296"/>
      <c r="AZ325" s="296">
        <v>0</v>
      </c>
      <c r="BA325" s="296">
        <v>0</v>
      </c>
      <c r="BB325" s="296">
        <v>0</v>
      </c>
      <c r="BC325" s="499">
        <f t="shared" si="90"/>
        <v>0</v>
      </c>
      <c r="BD325" s="499">
        <f t="shared" si="90"/>
        <v>0</v>
      </c>
      <c r="BE325" s="499">
        <f t="shared" si="90"/>
        <v>0</v>
      </c>
      <c r="BF325" s="296">
        <v>0</v>
      </c>
      <c r="BG325" s="296">
        <v>0</v>
      </c>
      <c r="BH325" s="296">
        <v>0</v>
      </c>
      <c r="BI325" s="722">
        <f>SUM(I325:I362)</f>
        <v>1027</v>
      </c>
      <c r="BJ325" s="722">
        <f>SUM(L325:L362)</f>
        <v>14818</v>
      </c>
      <c r="BK325" s="722">
        <f>SUM(O325:O362)</f>
        <v>15845</v>
      </c>
      <c r="BL325" s="722">
        <f>SUM(R325:R362)</f>
        <v>864</v>
      </c>
      <c r="BM325" s="722">
        <f>SUM(U325:U362)</f>
        <v>16709</v>
      </c>
      <c r="BN325" s="722">
        <f>SUM(AD325:AD362)</f>
        <v>-636</v>
      </c>
      <c r="BO325" s="722">
        <f>SUM(AA325:AA362)</f>
        <v>16709</v>
      </c>
      <c r="BP325" s="516"/>
      <c r="BQ325" s="722">
        <f>SUM(AG325:AG362)</f>
        <v>16073</v>
      </c>
      <c r="BR325" s="722">
        <f>SUM(AJ325:AJ362)</f>
        <v>35000</v>
      </c>
      <c r="BS325" s="722">
        <f>SUM(AM325:AM362)</f>
        <v>21490</v>
      </c>
      <c r="BT325" s="722">
        <f>SUM(AP325:AP362)</f>
        <v>56490</v>
      </c>
      <c r="BU325" s="722">
        <f>SUM(AS325:AS362)</f>
        <v>15012</v>
      </c>
      <c r="BV325" s="722">
        <f>SUM(AV325:AV362)</f>
        <v>71502</v>
      </c>
      <c r="BW325" s="722">
        <f>SUM(BE325:BE362)</f>
        <v>2014</v>
      </c>
      <c r="BX325" s="722">
        <f>SUM(BB325:BB362)</f>
        <v>71502</v>
      </c>
      <c r="BY325" s="516"/>
      <c r="BZ325" s="722">
        <f>SUM(BH325:BH362)</f>
        <v>73516</v>
      </c>
      <c r="CA325" s="722">
        <f>SUM(BQ325,BZ325)</f>
        <v>89589</v>
      </c>
      <c r="CB325" s="516">
        <v>0</v>
      </c>
      <c r="CC325" s="297">
        <v>0</v>
      </c>
      <c r="CD325" s="722">
        <f>SUM(CC325:CC362)</f>
        <v>89589</v>
      </c>
    </row>
    <row r="326" spans="1:82" x14ac:dyDescent="0.2">
      <c r="A326" s="703"/>
      <c r="B326" s="292" t="s">
        <v>1381</v>
      </c>
      <c r="C326" s="329" t="s">
        <v>930</v>
      </c>
      <c r="D326" s="314"/>
      <c r="E326" s="703"/>
      <c r="F326" s="294" t="s">
        <v>931</v>
      </c>
      <c r="G326" s="366"/>
      <c r="H326" s="366"/>
      <c r="I326" s="321"/>
      <c r="J326" s="296"/>
      <c r="K326" s="296"/>
      <c r="L326" s="296"/>
      <c r="M326" s="296"/>
      <c r="N326" s="296"/>
      <c r="O326" s="296"/>
      <c r="P326" s="296"/>
      <c r="Q326" s="296"/>
      <c r="R326" s="296"/>
      <c r="S326" s="296"/>
      <c r="T326" s="296"/>
      <c r="U326" s="296"/>
      <c r="V326" s="296"/>
      <c r="W326" s="296"/>
      <c r="X326" s="296"/>
      <c r="Y326" s="296"/>
      <c r="Z326" s="296"/>
      <c r="AA326" s="296"/>
      <c r="AB326" s="296"/>
      <c r="AC326" s="296"/>
      <c r="AD326" s="296"/>
      <c r="AE326" s="296"/>
      <c r="AF326" s="296"/>
      <c r="AG326" s="296"/>
      <c r="AH326" s="299"/>
      <c r="AI326" s="296"/>
      <c r="AJ326" s="296"/>
      <c r="AK326" s="296">
        <f t="shared" si="85"/>
        <v>2383</v>
      </c>
      <c r="AL326" s="296">
        <f t="shared" si="85"/>
        <v>644</v>
      </c>
      <c r="AM326" s="296">
        <f t="shared" si="85"/>
        <v>3027</v>
      </c>
      <c r="AN326" s="296">
        <v>2383</v>
      </c>
      <c r="AO326" s="296">
        <v>644</v>
      </c>
      <c r="AP326" s="296">
        <f t="shared" ref="AP326:AP344" si="95">SUM(AN326:AO326)</f>
        <v>3027</v>
      </c>
      <c r="AQ326" s="296">
        <f t="shared" si="86"/>
        <v>0</v>
      </c>
      <c r="AR326" s="296">
        <f t="shared" si="86"/>
        <v>0</v>
      </c>
      <c r="AS326" s="296">
        <f t="shared" si="86"/>
        <v>0</v>
      </c>
      <c r="AT326" s="296">
        <v>2383</v>
      </c>
      <c r="AU326" s="296">
        <v>644</v>
      </c>
      <c r="AV326" s="296">
        <f t="shared" ref="AV326:AV349" si="96">SUM(AT326:AU326)</f>
        <v>3027</v>
      </c>
      <c r="AW326" s="296"/>
      <c r="AX326" s="296"/>
      <c r="AY326" s="296"/>
      <c r="AZ326" s="296">
        <v>2383</v>
      </c>
      <c r="BA326" s="296">
        <v>644</v>
      </c>
      <c r="BB326" s="296">
        <v>3027</v>
      </c>
      <c r="BC326" s="499">
        <f t="shared" si="90"/>
        <v>0</v>
      </c>
      <c r="BD326" s="499">
        <f t="shared" si="90"/>
        <v>0</v>
      </c>
      <c r="BE326" s="499">
        <f t="shared" si="90"/>
        <v>0</v>
      </c>
      <c r="BF326" s="296">
        <v>2383</v>
      </c>
      <c r="BG326" s="296">
        <v>644</v>
      </c>
      <c r="BH326" s="499">
        <f t="shared" ref="BH326:BH335" si="97">SUM(BF326:BG326)</f>
        <v>3027</v>
      </c>
      <c r="BI326" s="723"/>
      <c r="BJ326" s="723"/>
      <c r="BK326" s="723"/>
      <c r="BL326" s="723"/>
      <c r="BM326" s="723"/>
      <c r="BN326" s="723"/>
      <c r="BO326" s="723"/>
      <c r="BP326" s="516"/>
      <c r="BQ326" s="723"/>
      <c r="BR326" s="723"/>
      <c r="BS326" s="723"/>
      <c r="BT326" s="723"/>
      <c r="BU326" s="723"/>
      <c r="BV326" s="723"/>
      <c r="BW326" s="723"/>
      <c r="BX326" s="723"/>
      <c r="BY326" s="516"/>
      <c r="BZ326" s="723"/>
      <c r="CA326" s="723"/>
      <c r="CB326" s="516">
        <v>2383000</v>
      </c>
      <c r="CC326" s="297">
        <v>3026</v>
      </c>
      <c r="CD326" s="723"/>
    </row>
    <row r="327" spans="1:82" ht="15" customHeight="1" x14ac:dyDescent="0.2">
      <c r="A327" s="703"/>
      <c r="B327" s="292" t="s">
        <v>1381</v>
      </c>
      <c r="C327" s="329" t="s">
        <v>932</v>
      </c>
      <c r="D327" s="314"/>
      <c r="E327" s="703"/>
      <c r="F327" s="294" t="s">
        <v>933</v>
      </c>
      <c r="G327" s="366"/>
      <c r="H327" s="366"/>
      <c r="I327" s="321"/>
      <c r="J327" s="296"/>
      <c r="K327" s="296"/>
      <c r="L327" s="296"/>
      <c r="M327" s="296"/>
      <c r="N327" s="296"/>
      <c r="O327" s="296"/>
      <c r="P327" s="296"/>
      <c r="Q327" s="296"/>
      <c r="R327" s="296"/>
      <c r="S327" s="296"/>
      <c r="T327" s="296"/>
      <c r="U327" s="296"/>
      <c r="V327" s="296"/>
      <c r="W327" s="296"/>
      <c r="X327" s="296"/>
      <c r="Y327" s="296"/>
      <c r="Z327" s="296"/>
      <c r="AA327" s="296"/>
      <c r="AB327" s="296"/>
      <c r="AC327" s="296"/>
      <c r="AD327" s="296"/>
      <c r="AE327" s="296"/>
      <c r="AF327" s="296"/>
      <c r="AG327" s="296"/>
      <c r="AH327" s="299"/>
      <c r="AI327" s="296"/>
      <c r="AJ327" s="296"/>
      <c r="AK327" s="296">
        <f t="shared" si="85"/>
        <v>1140</v>
      </c>
      <c r="AL327" s="296">
        <f t="shared" si="85"/>
        <v>308</v>
      </c>
      <c r="AM327" s="296">
        <f t="shared" si="85"/>
        <v>1448</v>
      </c>
      <c r="AN327" s="296">
        <v>1140</v>
      </c>
      <c r="AO327" s="296">
        <v>308</v>
      </c>
      <c r="AP327" s="296">
        <f t="shared" si="95"/>
        <v>1448</v>
      </c>
      <c r="AQ327" s="296">
        <f t="shared" si="86"/>
        <v>0</v>
      </c>
      <c r="AR327" s="296">
        <f t="shared" si="86"/>
        <v>0</v>
      </c>
      <c r="AS327" s="296">
        <f t="shared" si="86"/>
        <v>0</v>
      </c>
      <c r="AT327" s="296">
        <v>1140</v>
      </c>
      <c r="AU327" s="296">
        <v>308</v>
      </c>
      <c r="AV327" s="296">
        <f t="shared" si="96"/>
        <v>1448</v>
      </c>
      <c r="AW327" s="296"/>
      <c r="AX327" s="296"/>
      <c r="AY327" s="296"/>
      <c r="AZ327" s="296">
        <v>1140</v>
      </c>
      <c r="BA327" s="296">
        <v>308</v>
      </c>
      <c r="BB327" s="296">
        <v>1448</v>
      </c>
      <c r="BC327" s="499">
        <f t="shared" si="90"/>
        <v>0</v>
      </c>
      <c r="BD327" s="499">
        <f t="shared" si="90"/>
        <v>0</v>
      </c>
      <c r="BE327" s="499">
        <f t="shared" si="90"/>
        <v>0</v>
      </c>
      <c r="BF327" s="296">
        <v>1140</v>
      </c>
      <c r="BG327" s="296">
        <v>308</v>
      </c>
      <c r="BH327" s="499">
        <f t="shared" si="97"/>
        <v>1448</v>
      </c>
      <c r="BI327" s="723"/>
      <c r="BJ327" s="723"/>
      <c r="BK327" s="723"/>
      <c r="BL327" s="723"/>
      <c r="BM327" s="723"/>
      <c r="BN327" s="723"/>
      <c r="BO327" s="723"/>
      <c r="BP327" s="516"/>
      <c r="BQ327" s="723"/>
      <c r="BR327" s="723"/>
      <c r="BS327" s="723"/>
      <c r="BT327" s="723"/>
      <c r="BU327" s="723"/>
      <c r="BV327" s="723"/>
      <c r="BW327" s="723"/>
      <c r="BX327" s="723"/>
      <c r="BY327" s="516"/>
      <c r="BZ327" s="723"/>
      <c r="CA327" s="723"/>
      <c r="CB327" s="516">
        <v>1140000</v>
      </c>
      <c r="CC327" s="297">
        <v>1448</v>
      </c>
      <c r="CD327" s="723"/>
    </row>
    <row r="328" spans="1:82" x14ac:dyDescent="0.2">
      <c r="A328" s="703"/>
      <c r="B328" s="292" t="s">
        <v>1381</v>
      </c>
      <c r="C328" s="329" t="s">
        <v>934</v>
      </c>
      <c r="D328" s="314"/>
      <c r="E328" s="703"/>
      <c r="F328" s="294" t="s">
        <v>935</v>
      </c>
      <c r="G328" s="366"/>
      <c r="H328" s="366"/>
      <c r="I328" s="321"/>
      <c r="J328" s="296"/>
      <c r="K328" s="296"/>
      <c r="L328" s="296"/>
      <c r="M328" s="296"/>
      <c r="N328" s="296"/>
      <c r="O328" s="296"/>
      <c r="P328" s="296"/>
      <c r="Q328" s="296"/>
      <c r="R328" s="296"/>
      <c r="S328" s="296"/>
      <c r="T328" s="296"/>
      <c r="U328" s="296"/>
      <c r="V328" s="296"/>
      <c r="W328" s="296"/>
      <c r="X328" s="296"/>
      <c r="Y328" s="296"/>
      <c r="Z328" s="296"/>
      <c r="AA328" s="296"/>
      <c r="AB328" s="296"/>
      <c r="AC328" s="296"/>
      <c r="AD328" s="296"/>
      <c r="AE328" s="296"/>
      <c r="AF328" s="296"/>
      <c r="AG328" s="296"/>
      <c r="AH328" s="299"/>
      <c r="AI328" s="296"/>
      <c r="AJ328" s="296"/>
      <c r="AK328" s="296">
        <f t="shared" si="85"/>
        <v>980</v>
      </c>
      <c r="AL328" s="296">
        <f t="shared" si="85"/>
        <v>265</v>
      </c>
      <c r="AM328" s="296">
        <f t="shared" si="85"/>
        <v>1245</v>
      </c>
      <c r="AN328" s="296">
        <v>980</v>
      </c>
      <c r="AO328" s="296">
        <v>265</v>
      </c>
      <c r="AP328" s="296">
        <f t="shared" si="95"/>
        <v>1245</v>
      </c>
      <c r="AQ328" s="296">
        <f t="shared" si="86"/>
        <v>0</v>
      </c>
      <c r="AR328" s="296">
        <f t="shared" si="86"/>
        <v>0</v>
      </c>
      <c r="AS328" s="296">
        <f t="shared" si="86"/>
        <v>0</v>
      </c>
      <c r="AT328" s="296">
        <v>980</v>
      </c>
      <c r="AU328" s="296">
        <v>265</v>
      </c>
      <c r="AV328" s="296">
        <f t="shared" si="96"/>
        <v>1245</v>
      </c>
      <c r="AW328" s="296"/>
      <c r="AX328" s="296"/>
      <c r="AY328" s="296"/>
      <c r="AZ328" s="296">
        <v>980</v>
      </c>
      <c r="BA328" s="296">
        <v>265</v>
      </c>
      <c r="BB328" s="296">
        <v>1245</v>
      </c>
      <c r="BC328" s="499">
        <f t="shared" si="90"/>
        <v>-480</v>
      </c>
      <c r="BD328" s="499">
        <f t="shared" si="90"/>
        <v>-130</v>
      </c>
      <c r="BE328" s="499">
        <f t="shared" si="90"/>
        <v>-610</v>
      </c>
      <c r="BF328" s="296">
        <v>500</v>
      </c>
      <c r="BG328" s="296">
        <v>135</v>
      </c>
      <c r="BH328" s="499">
        <f>SUM(BF328:BG328)</f>
        <v>635</v>
      </c>
      <c r="BI328" s="723"/>
      <c r="BJ328" s="723"/>
      <c r="BK328" s="723"/>
      <c r="BL328" s="723"/>
      <c r="BM328" s="723"/>
      <c r="BN328" s="723"/>
      <c r="BO328" s="723"/>
      <c r="BP328" s="516"/>
      <c r="BQ328" s="723"/>
      <c r="BR328" s="723"/>
      <c r="BS328" s="723"/>
      <c r="BT328" s="723"/>
      <c r="BU328" s="723"/>
      <c r="BV328" s="723"/>
      <c r="BW328" s="723"/>
      <c r="BX328" s="723"/>
      <c r="BY328" s="516"/>
      <c r="BZ328" s="723"/>
      <c r="CA328" s="723"/>
      <c r="CB328" s="516">
        <v>500000</v>
      </c>
      <c r="CC328" s="297">
        <v>635</v>
      </c>
      <c r="CD328" s="723"/>
    </row>
    <row r="329" spans="1:82" ht="15" customHeight="1" x14ac:dyDescent="0.2">
      <c r="A329" s="703"/>
      <c r="B329" s="292" t="s">
        <v>1381</v>
      </c>
      <c r="C329" s="329" t="s">
        <v>932</v>
      </c>
      <c r="D329" s="314"/>
      <c r="E329" s="703"/>
      <c r="F329" s="294" t="s">
        <v>933</v>
      </c>
      <c r="G329" s="366"/>
      <c r="H329" s="366"/>
      <c r="I329" s="321"/>
      <c r="J329" s="296"/>
      <c r="K329" s="296"/>
      <c r="L329" s="296"/>
      <c r="M329" s="296"/>
      <c r="N329" s="296"/>
      <c r="O329" s="296"/>
      <c r="P329" s="296"/>
      <c r="Q329" s="296"/>
      <c r="R329" s="296"/>
      <c r="S329" s="296"/>
      <c r="T329" s="296"/>
      <c r="U329" s="296"/>
      <c r="V329" s="296"/>
      <c r="W329" s="296"/>
      <c r="X329" s="296"/>
      <c r="Y329" s="296"/>
      <c r="Z329" s="296"/>
      <c r="AA329" s="296"/>
      <c r="AB329" s="296"/>
      <c r="AC329" s="296"/>
      <c r="AD329" s="296"/>
      <c r="AE329" s="296"/>
      <c r="AF329" s="296"/>
      <c r="AG329" s="296"/>
      <c r="AH329" s="299"/>
      <c r="AI329" s="296"/>
      <c r="AJ329" s="296"/>
      <c r="AK329" s="296">
        <f t="shared" si="85"/>
        <v>1140</v>
      </c>
      <c r="AL329" s="296">
        <f t="shared" si="85"/>
        <v>308</v>
      </c>
      <c r="AM329" s="296">
        <f t="shared" si="85"/>
        <v>1448</v>
      </c>
      <c r="AN329" s="296">
        <v>1140</v>
      </c>
      <c r="AO329" s="296">
        <v>308</v>
      </c>
      <c r="AP329" s="296">
        <f t="shared" si="95"/>
        <v>1448</v>
      </c>
      <c r="AQ329" s="296">
        <f t="shared" si="86"/>
        <v>0</v>
      </c>
      <c r="AR329" s="296">
        <f t="shared" si="86"/>
        <v>0</v>
      </c>
      <c r="AS329" s="296">
        <f t="shared" si="86"/>
        <v>0</v>
      </c>
      <c r="AT329" s="296">
        <v>1140</v>
      </c>
      <c r="AU329" s="296">
        <v>308</v>
      </c>
      <c r="AV329" s="296">
        <f t="shared" si="96"/>
        <v>1448</v>
      </c>
      <c r="AW329" s="296"/>
      <c r="AX329" s="296"/>
      <c r="AY329" s="296"/>
      <c r="AZ329" s="296">
        <v>1140</v>
      </c>
      <c r="BA329" s="296">
        <v>308</v>
      </c>
      <c r="BB329" s="296">
        <v>1448</v>
      </c>
      <c r="BC329" s="499">
        <f t="shared" si="90"/>
        <v>-1140</v>
      </c>
      <c r="BD329" s="499">
        <f t="shared" si="90"/>
        <v>-308</v>
      </c>
      <c r="BE329" s="499">
        <f t="shared" si="90"/>
        <v>-1448</v>
      </c>
      <c r="BF329" s="296">
        <v>0</v>
      </c>
      <c r="BG329" s="296">
        <v>0</v>
      </c>
      <c r="BH329" s="499">
        <v>0</v>
      </c>
      <c r="BI329" s="723"/>
      <c r="BJ329" s="723"/>
      <c r="BK329" s="723"/>
      <c r="BL329" s="723"/>
      <c r="BM329" s="723"/>
      <c r="BN329" s="723"/>
      <c r="BO329" s="723"/>
      <c r="BP329" s="516"/>
      <c r="BQ329" s="723"/>
      <c r="BR329" s="723"/>
      <c r="BS329" s="723"/>
      <c r="BT329" s="723"/>
      <c r="BU329" s="723"/>
      <c r="BV329" s="723"/>
      <c r="BW329" s="723"/>
      <c r="BX329" s="723"/>
      <c r="BY329" s="516"/>
      <c r="BZ329" s="723"/>
      <c r="CA329" s="723"/>
      <c r="CB329" s="516">
        <v>0</v>
      </c>
      <c r="CC329" s="297">
        <v>0</v>
      </c>
      <c r="CD329" s="723"/>
    </row>
    <row r="330" spans="1:82" x14ac:dyDescent="0.2">
      <c r="A330" s="703"/>
      <c r="B330" s="292" t="s">
        <v>1381</v>
      </c>
      <c r="C330" s="301" t="s">
        <v>936</v>
      </c>
      <c r="D330" s="314"/>
      <c r="E330" s="703"/>
      <c r="F330" s="294" t="s">
        <v>937</v>
      </c>
      <c r="G330" s="366"/>
      <c r="H330" s="366"/>
      <c r="I330" s="321"/>
      <c r="J330" s="296"/>
      <c r="K330" s="296"/>
      <c r="L330" s="296"/>
      <c r="M330" s="296"/>
      <c r="N330" s="296"/>
      <c r="O330" s="296"/>
      <c r="P330" s="296"/>
      <c r="Q330" s="296"/>
      <c r="R330" s="296"/>
      <c r="S330" s="296"/>
      <c r="T330" s="296"/>
      <c r="U330" s="296"/>
      <c r="V330" s="296"/>
      <c r="W330" s="296"/>
      <c r="X330" s="296"/>
      <c r="Y330" s="296"/>
      <c r="Z330" s="296"/>
      <c r="AA330" s="296"/>
      <c r="AB330" s="296"/>
      <c r="AC330" s="296"/>
      <c r="AD330" s="296"/>
      <c r="AE330" s="296"/>
      <c r="AF330" s="296"/>
      <c r="AG330" s="296"/>
      <c r="AH330" s="299"/>
      <c r="AI330" s="296"/>
      <c r="AJ330" s="296"/>
      <c r="AK330" s="296">
        <f t="shared" si="85"/>
        <v>3218</v>
      </c>
      <c r="AL330" s="296">
        <f t="shared" si="85"/>
        <v>869</v>
      </c>
      <c r="AM330" s="296">
        <f t="shared" si="85"/>
        <v>4087</v>
      </c>
      <c r="AN330" s="296">
        <v>3218</v>
      </c>
      <c r="AO330" s="296">
        <v>869</v>
      </c>
      <c r="AP330" s="296">
        <f t="shared" si="95"/>
        <v>4087</v>
      </c>
      <c r="AQ330" s="296">
        <f t="shared" si="86"/>
        <v>0</v>
      </c>
      <c r="AR330" s="296">
        <f t="shared" si="86"/>
        <v>0</v>
      </c>
      <c r="AS330" s="296">
        <f t="shared" si="86"/>
        <v>0</v>
      </c>
      <c r="AT330" s="296">
        <v>3218</v>
      </c>
      <c r="AU330" s="296">
        <v>869</v>
      </c>
      <c r="AV330" s="296">
        <f t="shared" si="96"/>
        <v>4087</v>
      </c>
      <c r="AW330" s="296"/>
      <c r="AX330" s="296"/>
      <c r="AY330" s="296"/>
      <c r="AZ330" s="296">
        <v>3218</v>
      </c>
      <c r="BA330" s="296">
        <v>869</v>
      </c>
      <c r="BB330" s="296">
        <v>4087</v>
      </c>
      <c r="BC330" s="499">
        <f t="shared" si="90"/>
        <v>0</v>
      </c>
      <c r="BD330" s="499">
        <f t="shared" si="90"/>
        <v>0</v>
      </c>
      <c r="BE330" s="499">
        <f t="shared" si="90"/>
        <v>0</v>
      </c>
      <c r="BF330" s="296">
        <v>3218</v>
      </c>
      <c r="BG330" s="296">
        <v>869</v>
      </c>
      <c r="BH330" s="499">
        <f t="shared" si="97"/>
        <v>4087</v>
      </c>
      <c r="BI330" s="723"/>
      <c r="BJ330" s="723"/>
      <c r="BK330" s="723"/>
      <c r="BL330" s="723"/>
      <c r="BM330" s="723"/>
      <c r="BN330" s="723"/>
      <c r="BO330" s="723"/>
      <c r="BP330" s="516"/>
      <c r="BQ330" s="723"/>
      <c r="BR330" s="723"/>
      <c r="BS330" s="723"/>
      <c r="BT330" s="723"/>
      <c r="BU330" s="723"/>
      <c r="BV330" s="723"/>
      <c r="BW330" s="723"/>
      <c r="BX330" s="723"/>
      <c r="BY330" s="516"/>
      <c r="BZ330" s="723"/>
      <c r="CA330" s="723"/>
      <c r="CB330" s="516">
        <v>3218000</v>
      </c>
      <c r="CC330" s="297">
        <v>4087</v>
      </c>
      <c r="CD330" s="723"/>
    </row>
    <row r="331" spans="1:82" x14ac:dyDescent="0.2">
      <c r="A331" s="703"/>
      <c r="B331" s="292" t="s">
        <v>1381</v>
      </c>
      <c r="C331" s="329" t="s">
        <v>938</v>
      </c>
      <c r="D331" s="314"/>
      <c r="E331" s="703"/>
      <c r="F331" s="294" t="s">
        <v>939</v>
      </c>
      <c r="G331" s="366"/>
      <c r="H331" s="366"/>
      <c r="I331" s="321"/>
      <c r="J331" s="296"/>
      <c r="K331" s="296"/>
      <c r="L331" s="296"/>
      <c r="M331" s="296"/>
      <c r="N331" s="296"/>
      <c r="O331" s="296"/>
      <c r="P331" s="296"/>
      <c r="Q331" s="296"/>
      <c r="R331" s="296"/>
      <c r="S331" s="296"/>
      <c r="T331" s="296"/>
      <c r="U331" s="296"/>
      <c r="V331" s="296"/>
      <c r="W331" s="296"/>
      <c r="X331" s="296"/>
      <c r="Y331" s="296"/>
      <c r="Z331" s="296"/>
      <c r="AA331" s="296"/>
      <c r="AB331" s="296"/>
      <c r="AC331" s="296"/>
      <c r="AD331" s="296"/>
      <c r="AE331" s="296"/>
      <c r="AF331" s="296"/>
      <c r="AG331" s="296"/>
      <c r="AH331" s="299"/>
      <c r="AI331" s="296"/>
      <c r="AJ331" s="296"/>
      <c r="AK331" s="296">
        <f t="shared" si="85"/>
        <v>1445</v>
      </c>
      <c r="AL331" s="296">
        <f t="shared" si="85"/>
        <v>390</v>
      </c>
      <c r="AM331" s="296">
        <f t="shared" si="85"/>
        <v>1835</v>
      </c>
      <c r="AN331" s="296">
        <v>1445</v>
      </c>
      <c r="AO331" s="296">
        <v>390</v>
      </c>
      <c r="AP331" s="296">
        <f t="shared" si="95"/>
        <v>1835</v>
      </c>
      <c r="AQ331" s="296">
        <f t="shared" si="86"/>
        <v>0</v>
      </c>
      <c r="AR331" s="296">
        <f t="shared" si="86"/>
        <v>0</v>
      </c>
      <c r="AS331" s="296">
        <f t="shared" si="86"/>
        <v>0</v>
      </c>
      <c r="AT331" s="296">
        <v>1445</v>
      </c>
      <c r="AU331" s="296">
        <v>390</v>
      </c>
      <c r="AV331" s="296">
        <f t="shared" si="96"/>
        <v>1835</v>
      </c>
      <c r="AW331" s="296"/>
      <c r="AX331" s="296"/>
      <c r="AY331" s="296"/>
      <c r="AZ331" s="296">
        <v>1445</v>
      </c>
      <c r="BA331" s="296">
        <v>390</v>
      </c>
      <c r="BB331" s="296">
        <v>1835</v>
      </c>
      <c r="BC331" s="499">
        <f t="shared" si="90"/>
        <v>0</v>
      </c>
      <c r="BD331" s="499">
        <f t="shared" si="90"/>
        <v>0</v>
      </c>
      <c r="BE331" s="499">
        <f t="shared" si="90"/>
        <v>0</v>
      </c>
      <c r="BF331" s="296">
        <v>1445</v>
      </c>
      <c r="BG331" s="296">
        <v>390</v>
      </c>
      <c r="BH331" s="499">
        <f t="shared" si="97"/>
        <v>1835</v>
      </c>
      <c r="BI331" s="723"/>
      <c r="BJ331" s="723"/>
      <c r="BK331" s="723"/>
      <c r="BL331" s="723"/>
      <c r="BM331" s="723"/>
      <c r="BN331" s="723"/>
      <c r="BO331" s="723"/>
      <c r="BP331" s="516"/>
      <c r="BQ331" s="723"/>
      <c r="BR331" s="723"/>
      <c r="BS331" s="723"/>
      <c r="BT331" s="723"/>
      <c r="BU331" s="723"/>
      <c r="BV331" s="723"/>
      <c r="BW331" s="723"/>
      <c r="BX331" s="723"/>
      <c r="BY331" s="516"/>
      <c r="BZ331" s="723"/>
      <c r="CA331" s="723"/>
      <c r="CB331" s="516">
        <v>1444500</v>
      </c>
      <c r="CC331" s="297">
        <v>1835</v>
      </c>
      <c r="CD331" s="723"/>
    </row>
    <row r="332" spans="1:82" x14ac:dyDescent="0.2">
      <c r="A332" s="703"/>
      <c r="B332" s="292" t="s">
        <v>1381</v>
      </c>
      <c r="C332" s="329" t="s">
        <v>940</v>
      </c>
      <c r="D332" s="314"/>
      <c r="E332" s="703"/>
      <c r="F332" s="294" t="s">
        <v>941</v>
      </c>
      <c r="G332" s="366"/>
      <c r="H332" s="366"/>
      <c r="I332" s="321"/>
      <c r="J332" s="296"/>
      <c r="K332" s="296"/>
      <c r="L332" s="296"/>
      <c r="M332" s="296"/>
      <c r="N332" s="296"/>
      <c r="O332" s="296"/>
      <c r="P332" s="296"/>
      <c r="Q332" s="296"/>
      <c r="R332" s="296"/>
      <c r="S332" s="296"/>
      <c r="T332" s="296"/>
      <c r="U332" s="296"/>
      <c r="V332" s="296"/>
      <c r="W332" s="296"/>
      <c r="X332" s="296"/>
      <c r="Y332" s="296"/>
      <c r="Z332" s="296"/>
      <c r="AA332" s="296"/>
      <c r="AB332" s="296"/>
      <c r="AC332" s="296"/>
      <c r="AD332" s="296"/>
      <c r="AE332" s="296"/>
      <c r="AF332" s="296"/>
      <c r="AG332" s="296"/>
      <c r="AH332" s="299"/>
      <c r="AI332" s="296"/>
      <c r="AJ332" s="296"/>
      <c r="AK332" s="296">
        <f t="shared" si="85"/>
        <v>3451</v>
      </c>
      <c r="AL332" s="296">
        <f t="shared" si="85"/>
        <v>932</v>
      </c>
      <c r="AM332" s="296">
        <f t="shared" si="85"/>
        <v>4383</v>
      </c>
      <c r="AN332" s="296">
        <v>3451</v>
      </c>
      <c r="AO332" s="296">
        <v>932</v>
      </c>
      <c r="AP332" s="296">
        <f t="shared" si="95"/>
        <v>4383</v>
      </c>
      <c r="AQ332" s="296">
        <f t="shared" si="86"/>
        <v>0</v>
      </c>
      <c r="AR332" s="296">
        <f t="shared" si="86"/>
        <v>0</v>
      </c>
      <c r="AS332" s="296">
        <f t="shared" si="86"/>
        <v>0</v>
      </c>
      <c r="AT332" s="296">
        <v>3451</v>
      </c>
      <c r="AU332" s="296">
        <v>932</v>
      </c>
      <c r="AV332" s="296">
        <f t="shared" si="96"/>
        <v>4383</v>
      </c>
      <c r="AW332" s="296"/>
      <c r="AX332" s="296"/>
      <c r="AY332" s="296"/>
      <c r="AZ332" s="296">
        <v>3451</v>
      </c>
      <c r="BA332" s="296">
        <v>932</v>
      </c>
      <c r="BB332" s="296">
        <v>4383</v>
      </c>
      <c r="BC332" s="499">
        <f t="shared" si="90"/>
        <v>0</v>
      </c>
      <c r="BD332" s="499">
        <f t="shared" si="90"/>
        <v>0</v>
      </c>
      <c r="BE332" s="499">
        <f t="shared" si="90"/>
        <v>0</v>
      </c>
      <c r="BF332" s="296">
        <v>3451</v>
      </c>
      <c r="BG332" s="296">
        <v>932</v>
      </c>
      <c r="BH332" s="499">
        <f t="shared" si="97"/>
        <v>4383</v>
      </c>
      <c r="BI332" s="723"/>
      <c r="BJ332" s="723"/>
      <c r="BK332" s="723"/>
      <c r="BL332" s="723"/>
      <c r="BM332" s="723"/>
      <c r="BN332" s="723"/>
      <c r="BO332" s="723"/>
      <c r="BP332" s="516"/>
      <c r="BQ332" s="723"/>
      <c r="BR332" s="723"/>
      <c r="BS332" s="723"/>
      <c r="BT332" s="723"/>
      <c r="BU332" s="723"/>
      <c r="BV332" s="723"/>
      <c r="BW332" s="723"/>
      <c r="BX332" s="723"/>
      <c r="BY332" s="516"/>
      <c r="BZ332" s="723"/>
      <c r="CA332" s="723"/>
      <c r="CB332" s="516">
        <v>3451130</v>
      </c>
      <c r="CC332" s="297">
        <v>4383</v>
      </c>
      <c r="CD332" s="723"/>
    </row>
    <row r="333" spans="1:82" ht="22.5" x14ac:dyDescent="0.2">
      <c r="A333" s="703"/>
      <c r="B333" s="292" t="s">
        <v>1381</v>
      </c>
      <c r="C333" s="329" t="s">
        <v>942</v>
      </c>
      <c r="D333" s="366"/>
      <c r="E333" s="703"/>
      <c r="F333" s="294" t="s">
        <v>943</v>
      </c>
      <c r="G333" s="366"/>
      <c r="H333" s="366"/>
      <c r="I333" s="321"/>
      <c r="J333" s="296"/>
      <c r="K333" s="296"/>
      <c r="L333" s="296"/>
      <c r="M333" s="296"/>
      <c r="N333" s="296"/>
      <c r="O333" s="296"/>
      <c r="P333" s="296"/>
      <c r="Q333" s="296"/>
      <c r="R333" s="296"/>
      <c r="S333" s="296"/>
      <c r="T333" s="296"/>
      <c r="U333" s="296"/>
      <c r="V333" s="296"/>
      <c r="W333" s="296"/>
      <c r="X333" s="296"/>
      <c r="Y333" s="296"/>
      <c r="Z333" s="296"/>
      <c r="AA333" s="296"/>
      <c r="AB333" s="296"/>
      <c r="AC333" s="296"/>
      <c r="AD333" s="296"/>
      <c r="AE333" s="296"/>
      <c r="AF333" s="296"/>
      <c r="AG333" s="296"/>
      <c r="AH333" s="299"/>
      <c r="AI333" s="296"/>
      <c r="AJ333" s="296"/>
      <c r="AK333" s="296">
        <f t="shared" si="85"/>
        <v>2878</v>
      </c>
      <c r="AL333" s="296">
        <f t="shared" si="85"/>
        <v>777</v>
      </c>
      <c r="AM333" s="296">
        <f t="shared" si="85"/>
        <v>3655</v>
      </c>
      <c r="AN333" s="296">
        <v>2878</v>
      </c>
      <c r="AO333" s="296">
        <v>777</v>
      </c>
      <c r="AP333" s="296">
        <f t="shared" si="95"/>
        <v>3655</v>
      </c>
      <c r="AQ333" s="296">
        <f t="shared" si="86"/>
        <v>0</v>
      </c>
      <c r="AR333" s="296">
        <f t="shared" si="86"/>
        <v>0</v>
      </c>
      <c r="AS333" s="296">
        <f t="shared" si="86"/>
        <v>0</v>
      </c>
      <c r="AT333" s="296">
        <v>2878</v>
      </c>
      <c r="AU333" s="296">
        <v>777</v>
      </c>
      <c r="AV333" s="296">
        <f t="shared" si="96"/>
        <v>3655</v>
      </c>
      <c r="AW333" s="296"/>
      <c r="AX333" s="296"/>
      <c r="AY333" s="296"/>
      <c r="AZ333" s="296">
        <v>2878</v>
      </c>
      <c r="BA333" s="296">
        <v>777</v>
      </c>
      <c r="BB333" s="296">
        <v>3655</v>
      </c>
      <c r="BC333" s="499">
        <f t="shared" si="90"/>
        <v>0</v>
      </c>
      <c r="BD333" s="499">
        <f t="shared" si="90"/>
        <v>0</v>
      </c>
      <c r="BE333" s="499">
        <f t="shared" si="90"/>
        <v>0</v>
      </c>
      <c r="BF333" s="296">
        <v>2878</v>
      </c>
      <c r="BG333" s="296">
        <v>777</v>
      </c>
      <c r="BH333" s="499">
        <f t="shared" si="97"/>
        <v>3655</v>
      </c>
      <c r="BI333" s="723"/>
      <c r="BJ333" s="723"/>
      <c r="BK333" s="723"/>
      <c r="BL333" s="723"/>
      <c r="BM333" s="723"/>
      <c r="BN333" s="723"/>
      <c r="BO333" s="723"/>
      <c r="BP333" s="516"/>
      <c r="BQ333" s="723"/>
      <c r="BR333" s="723"/>
      <c r="BS333" s="723"/>
      <c r="BT333" s="723"/>
      <c r="BU333" s="723"/>
      <c r="BV333" s="723"/>
      <c r="BW333" s="723"/>
      <c r="BX333" s="723"/>
      <c r="BY333" s="516"/>
      <c r="BZ333" s="723"/>
      <c r="CA333" s="723"/>
      <c r="CB333" s="516">
        <v>2878000</v>
      </c>
      <c r="CC333" s="297">
        <v>3655</v>
      </c>
      <c r="CD333" s="723"/>
    </row>
    <row r="334" spans="1:82" x14ac:dyDescent="0.2">
      <c r="A334" s="703"/>
      <c r="B334" s="292" t="s">
        <v>1381</v>
      </c>
      <c r="C334" s="329" t="s">
        <v>944</v>
      </c>
      <c r="D334" s="319" t="s">
        <v>729</v>
      </c>
      <c r="E334" s="703"/>
      <c r="F334" s="294" t="s">
        <v>945</v>
      </c>
      <c r="G334" s="366"/>
      <c r="H334" s="366"/>
      <c r="I334" s="321"/>
      <c r="J334" s="296"/>
      <c r="K334" s="296"/>
      <c r="L334" s="296"/>
      <c r="M334" s="296"/>
      <c r="N334" s="296"/>
      <c r="O334" s="296"/>
      <c r="P334" s="296"/>
      <c r="Q334" s="296"/>
      <c r="R334" s="296"/>
      <c r="S334" s="296"/>
      <c r="T334" s="296"/>
      <c r="U334" s="296"/>
      <c r="V334" s="296"/>
      <c r="W334" s="296"/>
      <c r="X334" s="296"/>
      <c r="Y334" s="296"/>
      <c r="Z334" s="296"/>
      <c r="AA334" s="296"/>
      <c r="AB334" s="296"/>
      <c r="AC334" s="296"/>
      <c r="AD334" s="296"/>
      <c r="AE334" s="296"/>
      <c r="AF334" s="296"/>
      <c r="AG334" s="296"/>
      <c r="AH334" s="299"/>
      <c r="AI334" s="296"/>
      <c r="AJ334" s="296"/>
      <c r="AK334" s="296">
        <f t="shared" si="85"/>
        <v>2018</v>
      </c>
      <c r="AL334" s="296">
        <f t="shared" si="85"/>
        <v>0</v>
      </c>
      <c r="AM334" s="296">
        <f t="shared" si="85"/>
        <v>2018</v>
      </c>
      <c r="AN334" s="296">
        <v>2018</v>
      </c>
      <c r="AO334" s="296">
        <v>0</v>
      </c>
      <c r="AP334" s="296">
        <f t="shared" si="95"/>
        <v>2018</v>
      </c>
      <c r="AQ334" s="296">
        <f t="shared" si="86"/>
        <v>0</v>
      </c>
      <c r="AR334" s="296">
        <f t="shared" si="86"/>
        <v>545</v>
      </c>
      <c r="AS334" s="296">
        <f t="shared" si="86"/>
        <v>545</v>
      </c>
      <c r="AT334" s="296">
        <v>2018</v>
      </c>
      <c r="AU334" s="296">
        <v>545</v>
      </c>
      <c r="AV334" s="296">
        <f t="shared" si="96"/>
        <v>2563</v>
      </c>
      <c r="AW334" s="296"/>
      <c r="AX334" s="296"/>
      <c r="AY334" s="296"/>
      <c r="AZ334" s="296">
        <v>2018</v>
      </c>
      <c r="BA334" s="296">
        <v>545</v>
      </c>
      <c r="BB334" s="296">
        <v>2563</v>
      </c>
      <c r="BC334" s="499">
        <f t="shared" si="90"/>
        <v>0</v>
      </c>
      <c r="BD334" s="499">
        <f t="shared" si="90"/>
        <v>-545</v>
      </c>
      <c r="BE334" s="499">
        <f t="shared" si="90"/>
        <v>-545</v>
      </c>
      <c r="BF334" s="296">
        <v>2018</v>
      </c>
      <c r="BG334" s="296">
        <v>0</v>
      </c>
      <c r="BH334" s="499">
        <f t="shared" si="97"/>
        <v>2018</v>
      </c>
      <c r="BI334" s="723"/>
      <c r="BJ334" s="723"/>
      <c r="BK334" s="723"/>
      <c r="BL334" s="723"/>
      <c r="BM334" s="723"/>
      <c r="BN334" s="723"/>
      <c r="BO334" s="723"/>
      <c r="BP334" s="511"/>
      <c r="BQ334" s="723"/>
      <c r="BR334" s="723"/>
      <c r="BS334" s="723"/>
      <c r="BT334" s="723"/>
      <c r="BU334" s="723"/>
      <c r="BV334" s="723"/>
      <c r="BW334" s="723"/>
      <c r="BX334" s="723"/>
      <c r="BY334" s="511"/>
      <c r="BZ334" s="723"/>
      <c r="CA334" s="723"/>
      <c r="CB334" s="516">
        <v>2017960</v>
      </c>
      <c r="CC334" s="297">
        <v>2018</v>
      </c>
      <c r="CD334" s="723"/>
    </row>
    <row r="335" spans="1:82" ht="22.5" x14ac:dyDescent="0.2">
      <c r="A335" s="703"/>
      <c r="B335" s="292" t="s">
        <v>1381</v>
      </c>
      <c r="C335" s="329" t="s">
        <v>946</v>
      </c>
      <c r="D335" s="319"/>
      <c r="E335" s="703"/>
      <c r="F335" s="294" t="s">
        <v>947</v>
      </c>
      <c r="G335" s="366"/>
      <c r="H335" s="366"/>
      <c r="I335" s="321"/>
      <c r="J335" s="296"/>
      <c r="K335" s="296"/>
      <c r="L335" s="296"/>
      <c r="M335" s="296"/>
      <c r="N335" s="296"/>
      <c r="O335" s="296"/>
      <c r="P335" s="296"/>
      <c r="Q335" s="296"/>
      <c r="R335" s="296"/>
      <c r="S335" s="296"/>
      <c r="T335" s="296"/>
      <c r="U335" s="296"/>
      <c r="V335" s="296"/>
      <c r="W335" s="296"/>
      <c r="X335" s="296"/>
      <c r="Y335" s="296"/>
      <c r="Z335" s="296"/>
      <c r="AA335" s="296"/>
      <c r="AB335" s="296"/>
      <c r="AC335" s="296"/>
      <c r="AD335" s="296"/>
      <c r="AE335" s="296"/>
      <c r="AF335" s="296"/>
      <c r="AG335" s="296"/>
      <c r="AH335" s="299"/>
      <c r="AI335" s="296"/>
      <c r="AJ335" s="296"/>
      <c r="AK335" s="296">
        <f t="shared" ref="AK335:AM344" si="98">AN335-AH335</f>
        <v>1899</v>
      </c>
      <c r="AL335" s="296">
        <f t="shared" si="98"/>
        <v>512</v>
      </c>
      <c r="AM335" s="296">
        <f t="shared" si="98"/>
        <v>2411</v>
      </c>
      <c r="AN335" s="296">
        <v>1899</v>
      </c>
      <c r="AO335" s="296">
        <v>512</v>
      </c>
      <c r="AP335" s="296">
        <f t="shared" si="95"/>
        <v>2411</v>
      </c>
      <c r="AQ335" s="296">
        <f t="shared" si="86"/>
        <v>0</v>
      </c>
      <c r="AR335" s="296">
        <f t="shared" si="86"/>
        <v>1</v>
      </c>
      <c r="AS335" s="296">
        <f t="shared" si="86"/>
        <v>1</v>
      </c>
      <c r="AT335" s="296">
        <v>1899</v>
      </c>
      <c r="AU335" s="296">
        <v>513</v>
      </c>
      <c r="AV335" s="296">
        <f t="shared" si="96"/>
        <v>2412</v>
      </c>
      <c r="AW335" s="296"/>
      <c r="AX335" s="296"/>
      <c r="AY335" s="296"/>
      <c r="AZ335" s="296">
        <v>1899</v>
      </c>
      <c r="BA335" s="296">
        <v>513</v>
      </c>
      <c r="BB335" s="296">
        <v>2412</v>
      </c>
      <c r="BC335" s="499">
        <f t="shared" si="90"/>
        <v>0</v>
      </c>
      <c r="BD335" s="499">
        <f t="shared" si="90"/>
        <v>0</v>
      </c>
      <c r="BE335" s="499">
        <f t="shared" si="90"/>
        <v>0</v>
      </c>
      <c r="BF335" s="296">
        <v>1899</v>
      </c>
      <c r="BG335" s="296">
        <v>513</v>
      </c>
      <c r="BH335" s="499">
        <f t="shared" si="97"/>
        <v>2412</v>
      </c>
      <c r="BI335" s="723"/>
      <c r="BJ335" s="723"/>
      <c r="BK335" s="723"/>
      <c r="BL335" s="723"/>
      <c r="BM335" s="723"/>
      <c r="BN335" s="723"/>
      <c r="BO335" s="723"/>
      <c r="BP335" s="511"/>
      <c r="BQ335" s="723"/>
      <c r="BR335" s="723"/>
      <c r="BS335" s="723"/>
      <c r="BT335" s="723"/>
      <c r="BU335" s="723"/>
      <c r="BV335" s="723"/>
      <c r="BW335" s="723"/>
      <c r="BX335" s="723"/>
      <c r="BY335" s="511"/>
      <c r="BZ335" s="723"/>
      <c r="CA335" s="723"/>
      <c r="CB335" s="516">
        <v>1899000</v>
      </c>
      <c r="CC335" s="297">
        <v>2412</v>
      </c>
      <c r="CD335" s="723"/>
    </row>
    <row r="336" spans="1:82" x14ac:dyDescent="0.2">
      <c r="A336" s="703"/>
      <c r="B336" s="292" t="s">
        <v>1381</v>
      </c>
      <c r="C336" s="329" t="s">
        <v>948</v>
      </c>
      <c r="D336" s="339"/>
      <c r="E336" s="703"/>
      <c r="F336" s="294" t="s">
        <v>949</v>
      </c>
      <c r="G336" s="366"/>
      <c r="H336" s="366"/>
      <c r="I336" s="321"/>
      <c r="J336" s="296"/>
      <c r="K336" s="296"/>
      <c r="L336" s="296"/>
      <c r="M336" s="296"/>
      <c r="N336" s="296"/>
      <c r="O336" s="296"/>
      <c r="P336" s="296"/>
      <c r="Q336" s="296"/>
      <c r="R336" s="296"/>
      <c r="S336" s="296"/>
      <c r="T336" s="296"/>
      <c r="U336" s="296"/>
      <c r="V336" s="296"/>
      <c r="W336" s="296"/>
      <c r="X336" s="296"/>
      <c r="Y336" s="296"/>
      <c r="Z336" s="296"/>
      <c r="AA336" s="296"/>
      <c r="AB336" s="296"/>
      <c r="AC336" s="296"/>
      <c r="AD336" s="296"/>
      <c r="AE336" s="296"/>
      <c r="AF336" s="296"/>
      <c r="AG336" s="296"/>
      <c r="AH336" s="299"/>
      <c r="AI336" s="296"/>
      <c r="AJ336" s="296"/>
      <c r="AK336" s="296">
        <f t="shared" si="98"/>
        <v>282</v>
      </c>
      <c r="AL336" s="296">
        <f t="shared" si="98"/>
        <v>76</v>
      </c>
      <c r="AM336" s="296">
        <f t="shared" si="98"/>
        <v>358</v>
      </c>
      <c r="AN336" s="296">
        <v>282</v>
      </c>
      <c r="AO336" s="296">
        <v>76</v>
      </c>
      <c r="AP336" s="296">
        <f t="shared" si="95"/>
        <v>358</v>
      </c>
      <c r="AQ336" s="296">
        <f t="shared" si="86"/>
        <v>0</v>
      </c>
      <c r="AR336" s="296">
        <f t="shared" si="86"/>
        <v>0</v>
      </c>
      <c r="AS336" s="296">
        <f t="shared" si="86"/>
        <v>0</v>
      </c>
      <c r="AT336" s="296">
        <v>282</v>
      </c>
      <c r="AU336" s="296">
        <v>76</v>
      </c>
      <c r="AV336" s="296">
        <f t="shared" si="96"/>
        <v>358</v>
      </c>
      <c r="AW336" s="296"/>
      <c r="AX336" s="296"/>
      <c r="AY336" s="296"/>
      <c r="AZ336" s="296">
        <v>282</v>
      </c>
      <c r="BA336" s="296">
        <v>76</v>
      </c>
      <c r="BB336" s="296">
        <v>358</v>
      </c>
      <c r="BC336" s="499">
        <f t="shared" ref="BC336:BE354" si="99">BF336-AT336</f>
        <v>-282</v>
      </c>
      <c r="BD336" s="499">
        <f t="shared" si="99"/>
        <v>-76</v>
      </c>
      <c r="BE336" s="499">
        <f t="shared" si="99"/>
        <v>-358</v>
      </c>
      <c r="BF336" s="296">
        <v>0</v>
      </c>
      <c r="BG336" s="296">
        <v>0</v>
      </c>
      <c r="BH336" s="499">
        <v>0</v>
      </c>
      <c r="BI336" s="723"/>
      <c r="BJ336" s="723"/>
      <c r="BK336" s="723"/>
      <c r="BL336" s="723"/>
      <c r="BM336" s="723"/>
      <c r="BN336" s="723"/>
      <c r="BO336" s="723"/>
      <c r="BP336" s="511"/>
      <c r="BQ336" s="723"/>
      <c r="BR336" s="723"/>
      <c r="BS336" s="723"/>
      <c r="BT336" s="723"/>
      <c r="BU336" s="723"/>
      <c r="BV336" s="723"/>
      <c r="BW336" s="723"/>
      <c r="BX336" s="723"/>
      <c r="BY336" s="511"/>
      <c r="BZ336" s="723"/>
      <c r="CA336" s="723"/>
      <c r="CB336" s="516"/>
      <c r="CC336" s="297">
        <v>0</v>
      </c>
      <c r="CD336" s="723"/>
    </row>
    <row r="337" spans="1:82" x14ac:dyDescent="0.2">
      <c r="A337" s="703"/>
      <c r="B337" s="292" t="s">
        <v>1381</v>
      </c>
      <c r="C337" s="293" t="s">
        <v>950</v>
      </c>
      <c r="D337" s="512"/>
      <c r="E337" s="703"/>
      <c r="F337" s="294" t="s">
        <v>951</v>
      </c>
      <c r="G337" s="505"/>
      <c r="H337" s="505"/>
      <c r="I337" s="300"/>
      <c r="J337" s="300"/>
      <c r="K337" s="300"/>
      <c r="L337" s="300"/>
      <c r="M337" s="298"/>
      <c r="N337" s="298"/>
      <c r="O337" s="296"/>
      <c r="P337" s="298"/>
      <c r="Q337" s="298"/>
      <c r="R337" s="298"/>
      <c r="S337" s="298"/>
      <c r="T337" s="298"/>
      <c r="U337" s="298"/>
      <c r="V337" s="298"/>
      <c r="W337" s="298"/>
      <c r="X337" s="298"/>
      <c r="Y337" s="298"/>
      <c r="Z337" s="298"/>
      <c r="AA337" s="298"/>
      <c r="AB337" s="298"/>
      <c r="AC337" s="298"/>
      <c r="AD337" s="298"/>
      <c r="AE337" s="298"/>
      <c r="AF337" s="298"/>
      <c r="AG337" s="298"/>
      <c r="AH337" s="296"/>
      <c r="AI337" s="296"/>
      <c r="AJ337" s="296"/>
      <c r="AK337" s="499">
        <f t="shared" si="98"/>
        <v>2127</v>
      </c>
      <c r="AL337" s="499">
        <f t="shared" si="98"/>
        <v>574</v>
      </c>
      <c r="AM337" s="296">
        <f t="shared" si="98"/>
        <v>2701</v>
      </c>
      <c r="AN337" s="499">
        <v>2127</v>
      </c>
      <c r="AO337" s="499">
        <v>574</v>
      </c>
      <c r="AP337" s="296">
        <f t="shared" si="95"/>
        <v>2701</v>
      </c>
      <c r="AQ337" s="296">
        <f t="shared" si="86"/>
        <v>0</v>
      </c>
      <c r="AR337" s="499">
        <f t="shared" si="86"/>
        <v>0</v>
      </c>
      <c r="AS337" s="296">
        <f t="shared" si="86"/>
        <v>0</v>
      </c>
      <c r="AT337" s="499">
        <v>2127</v>
      </c>
      <c r="AU337" s="499">
        <v>574</v>
      </c>
      <c r="AV337" s="499">
        <f t="shared" si="96"/>
        <v>2701</v>
      </c>
      <c r="AW337" s="499"/>
      <c r="AX337" s="499"/>
      <c r="AY337" s="499"/>
      <c r="AZ337" s="499">
        <v>2127</v>
      </c>
      <c r="BA337" s="499">
        <v>574</v>
      </c>
      <c r="BB337" s="499">
        <v>2701</v>
      </c>
      <c r="BC337" s="499">
        <f t="shared" si="99"/>
        <v>0</v>
      </c>
      <c r="BD337" s="499">
        <f t="shared" si="99"/>
        <v>0</v>
      </c>
      <c r="BE337" s="499">
        <f t="shared" si="99"/>
        <v>0</v>
      </c>
      <c r="BF337" s="499">
        <v>2127</v>
      </c>
      <c r="BG337" s="499">
        <v>574</v>
      </c>
      <c r="BH337" s="499">
        <f>SUM(BF337:BG337)</f>
        <v>2701</v>
      </c>
      <c r="BI337" s="723"/>
      <c r="BJ337" s="723"/>
      <c r="BK337" s="723"/>
      <c r="BL337" s="723"/>
      <c r="BM337" s="723"/>
      <c r="BN337" s="723"/>
      <c r="BO337" s="723"/>
      <c r="BP337" s="519"/>
      <c r="BQ337" s="723"/>
      <c r="BR337" s="723"/>
      <c r="BS337" s="723"/>
      <c r="BT337" s="723"/>
      <c r="BU337" s="723"/>
      <c r="BV337" s="723"/>
      <c r="BW337" s="723"/>
      <c r="BX337" s="723"/>
      <c r="BY337" s="519"/>
      <c r="BZ337" s="723"/>
      <c r="CA337" s="723"/>
      <c r="CB337" s="516">
        <v>2126800</v>
      </c>
      <c r="CC337" s="297">
        <v>2701</v>
      </c>
      <c r="CD337" s="723"/>
    </row>
    <row r="338" spans="1:82" ht="22.5" x14ac:dyDescent="0.2">
      <c r="A338" s="703"/>
      <c r="B338" s="292" t="s">
        <v>1381</v>
      </c>
      <c r="C338" s="293" t="s">
        <v>952</v>
      </c>
      <c r="D338" s="512"/>
      <c r="E338" s="703"/>
      <c r="F338" s="294" t="s">
        <v>953</v>
      </c>
      <c r="G338" s="505"/>
      <c r="H338" s="505"/>
      <c r="I338" s="300"/>
      <c r="J338" s="300"/>
      <c r="K338" s="300"/>
      <c r="L338" s="300"/>
      <c r="M338" s="298"/>
      <c r="N338" s="298"/>
      <c r="O338" s="296"/>
      <c r="P338" s="298"/>
      <c r="Q338" s="298"/>
      <c r="R338" s="298"/>
      <c r="S338" s="298"/>
      <c r="T338" s="298"/>
      <c r="U338" s="298"/>
      <c r="V338" s="298"/>
      <c r="W338" s="298"/>
      <c r="X338" s="298"/>
      <c r="Y338" s="298"/>
      <c r="Z338" s="298"/>
      <c r="AA338" s="298"/>
      <c r="AB338" s="298"/>
      <c r="AC338" s="298"/>
      <c r="AD338" s="298"/>
      <c r="AE338" s="298"/>
      <c r="AF338" s="298"/>
      <c r="AG338" s="298"/>
      <c r="AH338" s="296"/>
      <c r="AI338" s="296"/>
      <c r="AJ338" s="296"/>
      <c r="AK338" s="499">
        <f t="shared" si="98"/>
        <v>7180</v>
      </c>
      <c r="AL338" s="499">
        <f t="shared" si="98"/>
        <v>3665</v>
      </c>
      <c r="AM338" s="499">
        <f t="shared" si="98"/>
        <v>10845</v>
      </c>
      <c r="AN338" s="499">
        <v>7180</v>
      </c>
      <c r="AO338" s="499">
        <f>1938+1727</f>
        <v>3665</v>
      </c>
      <c r="AP338" s="499">
        <f t="shared" si="95"/>
        <v>10845</v>
      </c>
      <c r="AQ338" s="499">
        <f t="shared" si="86"/>
        <v>0</v>
      </c>
      <c r="AR338" s="499">
        <f t="shared" si="86"/>
        <v>-1727</v>
      </c>
      <c r="AS338" s="499">
        <f t="shared" si="86"/>
        <v>-1727</v>
      </c>
      <c r="AT338" s="499">
        <v>7180</v>
      </c>
      <c r="AU338" s="499">
        <v>1938</v>
      </c>
      <c r="AV338" s="499">
        <f t="shared" si="96"/>
        <v>9118</v>
      </c>
      <c r="AW338" s="499"/>
      <c r="AX338" s="499"/>
      <c r="AY338" s="499"/>
      <c r="AZ338" s="499">
        <v>7180</v>
      </c>
      <c r="BA338" s="499">
        <v>1938</v>
      </c>
      <c r="BB338" s="499">
        <v>9118</v>
      </c>
      <c r="BC338" s="499">
        <f t="shared" si="99"/>
        <v>0</v>
      </c>
      <c r="BD338" s="499">
        <f t="shared" si="99"/>
        <v>0</v>
      </c>
      <c r="BE338" s="499">
        <f t="shared" si="99"/>
        <v>0</v>
      </c>
      <c r="BF338" s="499">
        <v>7180</v>
      </c>
      <c r="BG338" s="499">
        <v>1938</v>
      </c>
      <c r="BH338" s="499">
        <f t="shared" ref="BH338:BH344" si="100">SUM(BF338:BG338)</f>
        <v>9118</v>
      </c>
      <c r="BI338" s="723"/>
      <c r="BJ338" s="723"/>
      <c r="BK338" s="723"/>
      <c r="BL338" s="723"/>
      <c r="BM338" s="723"/>
      <c r="BN338" s="723"/>
      <c r="BO338" s="723"/>
      <c r="BP338" s="519"/>
      <c r="BQ338" s="723"/>
      <c r="BR338" s="723"/>
      <c r="BS338" s="723"/>
      <c r="BT338" s="723"/>
      <c r="BU338" s="723"/>
      <c r="BV338" s="723"/>
      <c r="BW338" s="723"/>
      <c r="BX338" s="723"/>
      <c r="BY338" s="519"/>
      <c r="BZ338" s="723"/>
      <c r="CA338" s="723"/>
      <c r="CB338" s="516">
        <v>7180000</v>
      </c>
      <c r="CC338" s="297">
        <v>9119</v>
      </c>
      <c r="CD338" s="723"/>
    </row>
    <row r="339" spans="1:82" x14ac:dyDescent="0.2">
      <c r="A339" s="703"/>
      <c r="B339" s="292" t="s">
        <v>1381</v>
      </c>
      <c r="C339" s="340" t="s">
        <v>887</v>
      </c>
      <c r="D339" s="512"/>
      <c r="E339" s="703"/>
      <c r="F339" s="311" t="s">
        <v>954</v>
      </c>
      <c r="G339" s="505"/>
      <c r="H339" s="505"/>
      <c r="I339" s="300"/>
      <c r="J339" s="300"/>
      <c r="K339" s="300"/>
      <c r="L339" s="300"/>
      <c r="M339" s="298"/>
      <c r="N339" s="298"/>
      <c r="O339" s="321"/>
      <c r="P339" s="298"/>
      <c r="Q339" s="298"/>
      <c r="R339" s="298"/>
      <c r="S339" s="298"/>
      <c r="T339" s="298"/>
      <c r="U339" s="298"/>
      <c r="V339" s="298"/>
      <c r="W339" s="298"/>
      <c r="X339" s="298"/>
      <c r="Y339" s="298"/>
      <c r="Z339" s="298"/>
      <c r="AA339" s="298"/>
      <c r="AB339" s="298"/>
      <c r="AC339" s="298"/>
      <c r="AD339" s="298"/>
      <c r="AE339" s="298"/>
      <c r="AF339" s="298"/>
      <c r="AG339" s="298"/>
      <c r="AH339" s="296"/>
      <c r="AI339" s="296"/>
      <c r="AJ339" s="296"/>
      <c r="AK339" s="297">
        <f t="shared" si="98"/>
        <v>5855</v>
      </c>
      <c r="AL339" s="297">
        <f t="shared" si="98"/>
        <v>1581</v>
      </c>
      <c r="AM339" s="499">
        <f t="shared" si="98"/>
        <v>7436</v>
      </c>
      <c r="AN339" s="499">
        <v>5855</v>
      </c>
      <c r="AO339" s="499">
        <v>1581</v>
      </c>
      <c r="AP339" s="499">
        <f t="shared" si="95"/>
        <v>7436</v>
      </c>
      <c r="AQ339" s="499">
        <f t="shared" si="86"/>
        <v>0</v>
      </c>
      <c r="AR339" s="499">
        <f t="shared" si="86"/>
        <v>0</v>
      </c>
      <c r="AS339" s="499">
        <f t="shared" si="86"/>
        <v>0</v>
      </c>
      <c r="AT339" s="499">
        <v>5855</v>
      </c>
      <c r="AU339" s="499">
        <v>1581</v>
      </c>
      <c r="AV339" s="499">
        <f t="shared" si="96"/>
        <v>7436</v>
      </c>
      <c r="AW339" s="499"/>
      <c r="AX339" s="499"/>
      <c r="AY339" s="499"/>
      <c r="AZ339" s="499">
        <v>5855</v>
      </c>
      <c r="BA339" s="499">
        <v>1581</v>
      </c>
      <c r="BB339" s="499">
        <v>7436</v>
      </c>
      <c r="BC339" s="499">
        <f t="shared" si="99"/>
        <v>0</v>
      </c>
      <c r="BD339" s="499">
        <f t="shared" si="99"/>
        <v>0</v>
      </c>
      <c r="BE339" s="499">
        <f t="shared" si="99"/>
        <v>0</v>
      </c>
      <c r="BF339" s="499">
        <v>5855</v>
      </c>
      <c r="BG339" s="499">
        <v>1581</v>
      </c>
      <c r="BH339" s="499">
        <f t="shared" si="100"/>
        <v>7436</v>
      </c>
      <c r="BI339" s="723"/>
      <c r="BJ339" s="723"/>
      <c r="BK339" s="723"/>
      <c r="BL339" s="723"/>
      <c r="BM339" s="723"/>
      <c r="BN339" s="723"/>
      <c r="BO339" s="723"/>
      <c r="BP339" s="519"/>
      <c r="BQ339" s="723"/>
      <c r="BR339" s="723"/>
      <c r="BS339" s="723"/>
      <c r="BT339" s="723"/>
      <c r="BU339" s="723"/>
      <c r="BV339" s="723"/>
      <c r="BW339" s="723"/>
      <c r="BX339" s="723"/>
      <c r="BY339" s="519"/>
      <c r="BZ339" s="723"/>
      <c r="CA339" s="723"/>
      <c r="CB339" s="516">
        <v>5855500</v>
      </c>
      <c r="CC339" s="297">
        <v>7436</v>
      </c>
      <c r="CD339" s="723"/>
    </row>
    <row r="340" spans="1:82" x14ac:dyDescent="0.2">
      <c r="A340" s="703"/>
      <c r="B340" s="292" t="s">
        <v>1381</v>
      </c>
      <c r="C340" s="340" t="s">
        <v>1567</v>
      </c>
      <c r="D340" s="512" t="s">
        <v>729</v>
      </c>
      <c r="E340" s="703"/>
      <c r="F340" s="311" t="s">
        <v>955</v>
      </c>
      <c r="G340" s="505"/>
      <c r="H340" s="505"/>
      <c r="I340" s="300"/>
      <c r="J340" s="300"/>
      <c r="K340" s="300"/>
      <c r="L340" s="300"/>
      <c r="M340" s="298"/>
      <c r="N340" s="298"/>
      <c r="O340" s="321"/>
      <c r="P340" s="298"/>
      <c r="Q340" s="298"/>
      <c r="R340" s="298"/>
      <c r="S340" s="298"/>
      <c r="T340" s="298"/>
      <c r="U340" s="298"/>
      <c r="V340" s="298"/>
      <c r="W340" s="298"/>
      <c r="X340" s="298"/>
      <c r="Y340" s="298"/>
      <c r="Z340" s="298"/>
      <c r="AA340" s="298"/>
      <c r="AB340" s="298"/>
      <c r="AC340" s="298"/>
      <c r="AD340" s="298"/>
      <c r="AE340" s="298"/>
      <c r="AF340" s="298"/>
      <c r="AG340" s="298"/>
      <c r="AH340" s="296"/>
      <c r="AI340" s="296"/>
      <c r="AJ340" s="296"/>
      <c r="AK340" s="297">
        <f t="shared" si="98"/>
        <v>684</v>
      </c>
      <c r="AL340" s="297">
        <f t="shared" si="98"/>
        <v>0</v>
      </c>
      <c r="AM340" s="499">
        <f t="shared" si="98"/>
        <v>684</v>
      </c>
      <c r="AN340" s="499">
        <v>684</v>
      </c>
      <c r="AO340" s="499"/>
      <c r="AP340" s="499">
        <f t="shared" si="95"/>
        <v>684</v>
      </c>
      <c r="AQ340" s="499">
        <f t="shared" si="86"/>
        <v>0</v>
      </c>
      <c r="AR340" s="499">
        <f t="shared" si="86"/>
        <v>185</v>
      </c>
      <c r="AS340" s="499">
        <f t="shared" si="86"/>
        <v>185</v>
      </c>
      <c r="AT340" s="499">
        <v>684</v>
      </c>
      <c r="AU340" s="499">
        <v>185</v>
      </c>
      <c r="AV340" s="499">
        <f t="shared" si="96"/>
        <v>869</v>
      </c>
      <c r="AW340" s="499"/>
      <c r="AX340" s="499"/>
      <c r="AY340" s="499"/>
      <c r="AZ340" s="499">
        <v>684</v>
      </c>
      <c r="BA340" s="499">
        <v>185</v>
      </c>
      <c r="BB340" s="499">
        <v>869</v>
      </c>
      <c r="BC340" s="499">
        <f t="shared" si="99"/>
        <v>-684</v>
      </c>
      <c r="BD340" s="499">
        <f t="shared" si="99"/>
        <v>-185</v>
      </c>
      <c r="BE340" s="499">
        <f t="shared" si="99"/>
        <v>-869</v>
      </c>
      <c r="BF340" s="499">
        <v>0</v>
      </c>
      <c r="BG340" s="499">
        <v>0</v>
      </c>
      <c r="BH340" s="499">
        <f t="shared" si="100"/>
        <v>0</v>
      </c>
      <c r="BI340" s="723"/>
      <c r="BJ340" s="723"/>
      <c r="BK340" s="723"/>
      <c r="BL340" s="723"/>
      <c r="BM340" s="723"/>
      <c r="BN340" s="723"/>
      <c r="BO340" s="723"/>
      <c r="BP340" s="519"/>
      <c r="BQ340" s="723"/>
      <c r="BR340" s="723"/>
      <c r="BS340" s="723"/>
      <c r="BT340" s="723"/>
      <c r="BU340" s="723"/>
      <c r="BV340" s="723"/>
      <c r="BW340" s="723"/>
      <c r="BX340" s="723"/>
      <c r="BY340" s="519"/>
      <c r="BZ340" s="723"/>
      <c r="CA340" s="723"/>
      <c r="CB340" s="516"/>
      <c r="CC340" s="297">
        <v>0</v>
      </c>
      <c r="CD340" s="723"/>
    </row>
    <row r="341" spans="1:82" x14ac:dyDescent="0.2">
      <c r="A341" s="703"/>
      <c r="B341" s="292" t="s">
        <v>1381</v>
      </c>
      <c r="C341" s="340" t="s">
        <v>1568</v>
      </c>
      <c r="D341" s="512" t="s">
        <v>729</v>
      </c>
      <c r="E341" s="703"/>
      <c r="F341" s="311" t="s">
        <v>956</v>
      </c>
      <c r="G341" s="505"/>
      <c r="H341" s="505"/>
      <c r="I341" s="300"/>
      <c r="J341" s="300"/>
      <c r="K341" s="300"/>
      <c r="L341" s="300"/>
      <c r="M341" s="298"/>
      <c r="N341" s="298"/>
      <c r="O341" s="321"/>
      <c r="P341" s="298"/>
      <c r="Q341" s="298"/>
      <c r="R341" s="298"/>
      <c r="S341" s="298"/>
      <c r="T341" s="298"/>
      <c r="U341" s="298"/>
      <c r="V341" s="298"/>
      <c r="W341" s="298"/>
      <c r="X341" s="298"/>
      <c r="Y341" s="298"/>
      <c r="Z341" s="298"/>
      <c r="AA341" s="298"/>
      <c r="AB341" s="298"/>
      <c r="AC341" s="298"/>
      <c r="AD341" s="298"/>
      <c r="AE341" s="298"/>
      <c r="AF341" s="298"/>
      <c r="AG341" s="298"/>
      <c r="AH341" s="296"/>
      <c r="AI341" s="296"/>
      <c r="AJ341" s="296"/>
      <c r="AK341" s="297">
        <f t="shared" si="98"/>
        <v>689</v>
      </c>
      <c r="AL341" s="297">
        <f t="shared" si="98"/>
        <v>0</v>
      </c>
      <c r="AM341" s="499">
        <f t="shared" si="98"/>
        <v>689</v>
      </c>
      <c r="AN341" s="499">
        <v>689</v>
      </c>
      <c r="AO341" s="499"/>
      <c r="AP341" s="499">
        <f t="shared" si="95"/>
        <v>689</v>
      </c>
      <c r="AQ341" s="499">
        <f t="shared" si="86"/>
        <v>0</v>
      </c>
      <c r="AR341" s="499">
        <f t="shared" si="86"/>
        <v>186</v>
      </c>
      <c r="AS341" s="499">
        <f t="shared" si="86"/>
        <v>186</v>
      </c>
      <c r="AT341" s="499">
        <v>689</v>
      </c>
      <c r="AU341" s="499">
        <v>186</v>
      </c>
      <c r="AV341" s="499">
        <f t="shared" si="96"/>
        <v>875</v>
      </c>
      <c r="AW341" s="499"/>
      <c r="AX341" s="499"/>
      <c r="AY341" s="499"/>
      <c r="AZ341" s="499">
        <v>689</v>
      </c>
      <c r="BA341" s="499">
        <v>186</v>
      </c>
      <c r="BB341" s="499">
        <v>875</v>
      </c>
      <c r="BC341" s="499">
        <f t="shared" si="99"/>
        <v>0</v>
      </c>
      <c r="BD341" s="499">
        <f t="shared" si="99"/>
        <v>-186</v>
      </c>
      <c r="BE341" s="499">
        <f t="shared" si="99"/>
        <v>-186</v>
      </c>
      <c r="BF341" s="499">
        <v>689</v>
      </c>
      <c r="BG341" s="499">
        <v>0</v>
      </c>
      <c r="BH341" s="499">
        <f t="shared" si="100"/>
        <v>689</v>
      </c>
      <c r="BI341" s="723"/>
      <c r="BJ341" s="723"/>
      <c r="BK341" s="723"/>
      <c r="BL341" s="723"/>
      <c r="BM341" s="723"/>
      <c r="BN341" s="723"/>
      <c r="BO341" s="723"/>
      <c r="BP341" s="519"/>
      <c r="BQ341" s="723"/>
      <c r="BR341" s="723"/>
      <c r="BS341" s="723"/>
      <c r="BT341" s="723"/>
      <c r="BU341" s="723"/>
      <c r="BV341" s="723"/>
      <c r="BW341" s="723"/>
      <c r="BX341" s="723"/>
      <c r="BY341" s="519"/>
      <c r="BZ341" s="723"/>
      <c r="CA341" s="723"/>
      <c r="CB341" s="516">
        <v>689250</v>
      </c>
      <c r="CC341" s="297">
        <v>689</v>
      </c>
      <c r="CD341" s="723"/>
    </row>
    <row r="342" spans="1:82" x14ac:dyDescent="0.2">
      <c r="A342" s="703"/>
      <c r="B342" s="292" t="s">
        <v>1381</v>
      </c>
      <c r="C342" s="340" t="s">
        <v>1569</v>
      </c>
      <c r="D342" s="512" t="s">
        <v>729</v>
      </c>
      <c r="E342" s="703"/>
      <c r="F342" s="311" t="s">
        <v>957</v>
      </c>
      <c r="G342" s="505"/>
      <c r="H342" s="505"/>
      <c r="I342" s="300"/>
      <c r="J342" s="300"/>
      <c r="K342" s="300"/>
      <c r="L342" s="300"/>
      <c r="M342" s="298"/>
      <c r="N342" s="298"/>
      <c r="O342" s="321"/>
      <c r="P342" s="298"/>
      <c r="Q342" s="298"/>
      <c r="R342" s="298"/>
      <c r="S342" s="298"/>
      <c r="T342" s="298"/>
      <c r="U342" s="298"/>
      <c r="V342" s="298"/>
      <c r="W342" s="298"/>
      <c r="X342" s="298"/>
      <c r="Y342" s="298"/>
      <c r="Z342" s="298"/>
      <c r="AA342" s="298"/>
      <c r="AB342" s="298"/>
      <c r="AC342" s="298"/>
      <c r="AD342" s="298"/>
      <c r="AE342" s="298"/>
      <c r="AF342" s="298"/>
      <c r="AG342" s="298"/>
      <c r="AH342" s="296"/>
      <c r="AI342" s="296"/>
      <c r="AJ342" s="296"/>
      <c r="AK342" s="297">
        <f t="shared" si="98"/>
        <v>917</v>
      </c>
      <c r="AL342" s="297">
        <f t="shared" si="98"/>
        <v>0</v>
      </c>
      <c r="AM342" s="499">
        <f t="shared" si="98"/>
        <v>917</v>
      </c>
      <c r="AN342" s="499">
        <v>917</v>
      </c>
      <c r="AO342" s="499"/>
      <c r="AP342" s="499">
        <f t="shared" si="95"/>
        <v>917</v>
      </c>
      <c r="AQ342" s="499">
        <f t="shared" si="86"/>
        <v>0</v>
      </c>
      <c r="AR342" s="499">
        <v>247</v>
      </c>
      <c r="AS342" s="499">
        <f t="shared" si="86"/>
        <v>248</v>
      </c>
      <c r="AT342" s="499">
        <v>917</v>
      </c>
      <c r="AU342" s="499">
        <v>248</v>
      </c>
      <c r="AV342" s="499">
        <f t="shared" si="96"/>
        <v>1165</v>
      </c>
      <c r="AW342" s="499"/>
      <c r="AX342" s="499"/>
      <c r="AY342" s="499"/>
      <c r="AZ342" s="499">
        <v>917</v>
      </c>
      <c r="BA342" s="499">
        <v>248</v>
      </c>
      <c r="BB342" s="499">
        <v>1165</v>
      </c>
      <c r="BC342" s="499">
        <f t="shared" si="99"/>
        <v>0</v>
      </c>
      <c r="BD342" s="499">
        <f t="shared" si="99"/>
        <v>-248</v>
      </c>
      <c r="BE342" s="499">
        <f t="shared" si="99"/>
        <v>-248</v>
      </c>
      <c r="BF342" s="499">
        <v>917</v>
      </c>
      <c r="BG342" s="499">
        <v>0</v>
      </c>
      <c r="BH342" s="499">
        <f t="shared" si="100"/>
        <v>917</v>
      </c>
      <c r="BI342" s="723"/>
      <c r="BJ342" s="723"/>
      <c r="BK342" s="723"/>
      <c r="BL342" s="723"/>
      <c r="BM342" s="723"/>
      <c r="BN342" s="723"/>
      <c r="BO342" s="723"/>
      <c r="BP342" s="519"/>
      <c r="BQ342" s="723"/>
      <c r="BR342" s="723"/>
      <c r="BS342" s="723"/>
      <c r="BT342" s="723"/>
      <c r="BU342" s="723"/>
      <c r="BV342" s="723"/>
      <c r="BW342" s="723"/>
      <c r="BX342" s="723"/>
      <c r="BY342" s="519"/>
      <c r="BZ342" s="723"/>
      <c r="CA342" s="723"/>
      <c r="CB342" s="516">
        <v>917200</v>
      </c>
      <c r="CC342" s="297">
        <v>917</v>
      </c>
      <c r="CD342" s="723"/>
    </row>
    <row r="343" spans="1:82" x14ac:dyDescent="0.2">
      <c r="A343" s="703"/>
      <c r="B343" s="292" t="s">
        <v>1381</v>
      </c>
      <c r="C343" s="340" t="s">
        <v>1570</v>
      </c>
      <c r="D343" s="512" t="s">
        <v>729</v>
      </c>
      <c r="E343" s="703"/>
      <c r="F343" s="311" t="s">
        <v>958</v>
      </c>
      <c r="G343" s="505"/>
      <c r="H343" s="505"/>
      <c r="I343" s="300"/>
      <c r="J343" s="300"/>
      <c r="K343" s="300"/>
      <c r="L343" s="300"/>
      <c r="M343" s="298"/>
      <c r="N343" s="298"/>
      <c r="O343" s="321"/>
      <c r="P343" s="298"/>
      <c r="Q343" s="298"/>
      <c r="R343" s="298"/>
      <c r="S343" s="298"/>
      <c r="T343" s="298"/>
      <c r="U343" s="298"/>
      <c r="V343" s="298"/>
      <c r="W343" s="298"/>
      <c r="X343" s="298"/>
      <c r="Y343" s="298"/>
      <c r="Z343" s="298"/>
      <c r="AA343" s="298"/>
      <c r="AB343" s="298"/>
      <c r="AC343" s="298"/>
      <c r="AD343" s="298"/>
      <c r="AE343" s="298"/>
      <c r="AF343" s="298"/>
      <c r="AG343" s="298"/>
      <c r="AH343" s="296"/>
      <c r="AI343" s="296"/>
      <c r="AJ343" s="296"/>
      <c r="AK343" s="297">
        <f t="shared" si="98"/>
        <v>908</v>
      </c>
      <c r="AL343" s="297">
        <f>AO343-AI343</f>
        <v>0</v>
      </c>
      <c r="AM343" s="499">
        <f t="shared" si="98"/>
        <v>908</v>
      </c>
      <c r="AN343" s="499">
        <v>908</v>
      </c>
      <c r="AO343" s="499"/>
      <c r="AP343" s="499">
        <f t="shared" si="95"/>
        <v>908</v>
      </c>
      <c r="AQ343" s="499">
        <f t="shared" si="86"/>
        <v>0</v>
      </c>
      <c r="AR343" s="499">
        <f t="shared" si="86"/>
        <v>245</v>
      </c>
      <c r="AS343" s="499">
        <f t="shared" si="86"/>
        <v>245</v>
      </c>
      <c r="AT343" s="499">
        <v>908</v>
      </c>
      <c r="AU343" s="499">
        <v>245</v>
      </c>
      <c r="AV343" s="499">
        <f t="shared" si="96"/>
        <v>1153</v>
      </c>
      <c r="AW343" s="499"/>
      <c r="AX343" s="499"/>
      <c r="AY343" s="499"/>
      <c r="AZ343" s="499">
        <v>908</v>
      </c>
      <c r="BA343" s="499">
        <v>245</v>
      </c>
      <c r="BB343" s="499">
        <v>1153</v>
      </c>
      <c r="BC343" s="499">
        <f t="shared" si="99"/>
        <v>0</v>
      </c>
      <c r="BD343" s="499">
        <f t="shared" si="99"/>
        <v>-245</v>
      </c>
      <c r="BE343" s="499">
        <f t="shared" si="99"/>
        <v>-245</v>
      </c>
      <c r="BF343" s="499">
        <v>908</v>
      </c>
      <c r="BG343" s="499">
        <v>0</v>
      </c>
      <c r="BH343" s="499">
        <f t="shared" si="100"/>
        <v>908</v>
      </c>
      <c r="BI343" s="723"/>
      <c r="BJ343" s="723"/>
      <c r="BK343" s="723"/>
      <c r="BL343" s="723"/>
      <c r="BM343" s="723"/>
      <c r="BN343" s="723"/>
      <c r="BO343" s="723"/>
      <c r="BP343" s="519"/>
      <c r="BQ343" s="723"/>
      <c r="BR343" s="723"/>
      <c r="BS343" s="723"/>
      <c r="BT343" s="723"/>
      <c r="BU343" s="723"/>
      <c r="BV343" s="723"/>
      <c r="BW343" s="723"/>
      <c r="BX343" s="723"/>
      <c r="BY343" s="519"/>
      <c r="BZ343" s="723"/>
      <c r="CA343" s="723"/>
      <c r="CB343" s="516">
        <v>907500</v>
      </c>
      <c r="CC343" s="297">
        <v>908</v>
      </c>
      <c r="CD343" s="723"/>
    </row>
    <row r="344" spans="1:82" ht="33.75" x14ac:dyDescent="0.2">
      <c r="A344" s="703"/>
      <c r="B344" s="292" t="s">
        <v>1381</v>
      </c>
      <c r="C344" s="340" t="s">
        <v>959</v>
      </c>
      <c r="D344" s="512"/>
      <c r="E344" s="703"/>
      <c r="F344" s="311" t="s">
        <v>960</v>
      </c>
      <c r="G344" s="505"/>
      <c r="H344" s="505"/>
      <c r="I344" s="300"/>
      <c r="J344" s="300"/>
      <c r="K344" s="300"/>
      <c r="L344" s="300"/>
      <c r="M344" s="298"/>
      <c r="N344" s="298"/>
      <c r="O344" s="321"/>
      <c r="P344" s="298"/>
      <c r="Q344" s="298"/>
      <c r="R344" s="298"/>
      <c r="S344" s="298"/>
      <c r="T344" s="298"/>
      <c r="U344" s="298"/>
      <c r="V344" s="298"/>
      <c r="W344" s="298"/>
      <c r="X344" s="298"/>
      <c r="Y344" s="298"/>
      <c r="Z344" s="298"/>
      <c r="AA344" s="298"/>
      <c r="AB344" s="298"/>
      <c r="AC344" s="298"/>
      <c r="AD344" s="298"/>
      <c r="AE344" s="298"/>
      <c r="AF344" s="298"/>
      <c r="AG344" s="298"/>
      <c r="AH344" s="296"/>
      <c r="AI344" s="296"/>
      <c r="AJ344" s="296"/>
      <c r="AK344" s="297">
        <f t="shared" si="98"/>
        <v>6395</v>
      </c>
      <c r="AL344" s="297">
        <f>AO344-AI344</f>
        <v>0</v>
      </c>
      <c r="AM344" s="499">
        <f t="shared" si="98"/>
        <v>6395</v>
      </c>
      <c r="AN344" s="499">
        <v>6395</v>
      </c>
      <c r="AO344" s="499"/>
      <c r="AP344" s="499">
        <f t="shared" si="95"/>
        <v>6395</v>
      </c>
      <c r="AQ344" s="499">
        <f t="shared" si="86"/>
        <v>0</v>
      </c>
      <c r="AR344" s="499">
        <f t="shared" si="86"/>
        <v>1727</v>
      </c>
      <c r="AS344" s="499">
        <f t="shared" si="86"/>
        <v>1727</v>
      </c>
      <c r="AT344" s="499">
        <v>6395</v>
      </c>
      <c r="AU344" s="499">
        <v>1727</v>
      </c>
      <c r="AV344" s="499">
        <f t="shared" si="96"/>
        <v>8122</v>
      </c>
      <c r="AW344" s="499"/>
      <c r="AX344" s="499"/>
      <c r="AY344" s="499"/>
      <c r="AZ344" s="499">
        <v>6395</v>
      </c>
      <c r="BA344" s="499">
        <v>1727</v>
      </c>
      <c r="BB344" s="499">
        <v>8122</v>
      </c>
      <c r="BC344" s="499">
        <f t="shared" si="99"/>
        <v>-1757</v>
      </c>
      <c r="BD344" s="499">
        <f t="shared" si="99"/>
        <v>-475</v>
      </c>
      <c r="BE344" s="499">
        <f t="shared" si="99"/>
        <v>-2232</v>
      </c>
      <c r="BF344" s="499">
        <v>4638</v>
      </c>
      <c r="BG344" s="499">
        <v>1252</v>
      </c>
      <c r="BH344" s="499">
        <f t="shared" si="100"/>
        <v>5890</v>
      </c>
      <c r="BI344" s="723"/>
      <c r="BJ344" s="723"/>
      <c r="BK344" s="723"/>
      <c r="BL344" s="723"/>
      <c r="BM344" s="723"/>
      <c r="BN344" s="723"/>
      <c r="BO344" s="723"/>
      <c r="BP344" s="519"/>
      <c r="BQ344" s="723"/>
      <c r="BR344" s="723"/>
      <c r="BS344" s="723"/>
      <c r="BT344" s="723"/>
      <c r="BU344" s="723"/>
      <c r="BV344" s="723"/>
      <c r="BW344" s="723"/>
      <c r="BX344" s="723"/>
      <c r="BY344" s="519"/>
      <c r="BZ344" s="723"/>
      <c r="CA344" s="723"/>
      <c r="CB344" s="516">
        <v>4638000</v>
      </c>
      <c r="CC344" s="297">
        <v>5890</v>
      </c>
      <c r="CD344" s="723"/>
    </row>
    <row r="345" spans="1:82" x14ac:dyDescent="0.2">
      <c r="A345" s="703"/>
      <c r="B345" s="292" t="s">
        <v>1381</v>
      </c>
      <c r="C345" s="340" t="s">
        <v>1233</v>
      </c>
      <c r="D345" s="512" t="s">
        <v>729</v>
      </c>
      <c r="E345" s="703"/>
      <c r="F345" s="311" t="s">
        <v>1234</v>
      </c>
      <c r="G345" s="505"/>
      <c r="H345" s="505"/>
      <c r="I345" s="300"/>
      <c r="J345" s="300"/>
      <c r="K345" s="300"/>
      <c r="L345" s="300"/>
      <c r="M345" s="298"/>
      <c r="N345" s="298"/>
      <c r="O345" s="321"/>
      <c r="P345" s="298"/>
      <c r="Q345" s="298"/>
      <c r="R345" s="298"/>
      <c r="S345" s="298"/>
      <c r="T345" s="298"/>
      <c r="U345" s="298"/>
      <c r="V345" s="298"/>
      <c r="W345" s="298"/>
      <c r="X345" s="298"/>
      <c r="Y345" s="298"/>
      <c r="Z345" s="298"/>
      <c r="AA345" s="298"/>
      <c r="AB345" s="298"/>
      <c r="AC345" s="298"/>
      <c r="AD345" s="298"/>
      <c r="AE345" s="298"/>
      <c r="AF345" s="298"/>
      <c r="AG345" s="298"/>
      <c r="AH345" s="296"/>
      <c r="AI345" s="296"/>
      <c r="AJ345" s="296"/>
      <c r="AK345" s="499"/>
      <c r="AL345" s="499"/>
      <c r="AM345" s="499"/>
      <c r="AN345" s="499"/>
      <c r="AO345" s="499"/>
      <c r="AP345" s="499"/>
      <c r="AQ345" s="499">
        <f t="shared" ref="AQ345:AS349" si="101">AT345-AN345</f>
        <v>4509</v>
      </c>
      <c r="AR345" s="499">
        <f t="shared" si="101"/>
        <v>0</v>
      </c>
      <c r="AS345" s="499">
        <f t="shared" si="101"/>
        <v>4509</v>
      </c>
      <c r="AT345" s="499">
        <v>4509</v>
      </c>
      <c r="AU345" s="499">
        <v>0</v>
      </c>
      <c r="AV345" s="499">
        <f t="shared" si="96"/>
        <v>4509</v>
      </c>
      <c r="AW345" s="499"/>
      <c r="AX345" s="499"/>
      <c r="AY345" s="499"/>
      <c r="AZ345" s="499">
        <v>4509</v>
      </c>
      <c r="BA345" s="499">
        <v>0</v>
      </c>
      <c r="BB345" s="499">
        <v>4509</v>
      </c>
      <c r="BC345" s="499">
        <f t="shared" si="99"/>
        <v>0</v>
      </c>
      <c r="BD345" s="499">
        <f t="shared" si="99"/>
        <v>0</v>
      </c>
      <c r="BE345" s="499">
        <f t="shared" si="99"/>
        <v>0</v>
      </c>
      <c r="BF345" s="499">
        <v>4509</v>
      </c>
      <c r="BG345" s="499">
        <v>0</v>
      </c>
      <c r="BH345" s="499">
        <f>SUM(BF345:BG345)</f>
        <v>4509</v>
      </c>
      <c r="BI345" s="723"/>
      <c r="BJ345" s="723"/>
      <c r="BK345" s="723"/>
      <c r="BL345" s="723"/>
      <c r="BM345" s="723"/>
      <c r="BN345" s="723"/>
      <c r="BO345" s="723"/>
      <c r="BP345" s="519"/>
      <c r="BQ345" s="723"/>
      <c r="BR345" s="723"/>
      <c r="BS345" s="723"/>
      <c r="BT345" s="723"/>
      <c r="BU345" s="723"/>
      <c r="BV345" s="723"/>
      <c r="BW345" s="723"/>
      <c r="BX345" s="723"/>
      <c r="BY345" s="519"/>
      <c r="BZ345" s="723"/>
      <c r="CA345" s="723"/>
      <c r="CB345" s="516">
        <v>4508910</v>
      </c>
      <c r="CC345" s="297">
        <v>4509</v>
      </c>
      <c r="CD345" s="723"/>
    </row>
    <row r="346" spans="1:82" ht="15.75" customHeight="1" x14ac:dyDescent="0.2">
      <c r="A346" s="703"/>
      <c r="B346" s="292" t="s">
        <v>1381</v>
      </c>
      <c r="C346" s="340" t="s">
        <v>1156</v>
      </c>
      <c r="D346" s="512" t="s">
        <v>729</v>
      </c>
      <c r="E346" s="703"/>
      <c r="F346" s="311" t="s">
        <v>1235</v>
      </c>
      <c r="G346" s="505"/>
      <c r="H346" s="505"/>
      <c r="I346" s="300"/>
      <c r="J346" s="300"/>
      <c r="K346" s="300"/>
      <c r="L346" s="300"/>
      <c r="M346" s="298"/>
      <c r="N346" s="298"/>
      <c r="O346" s="321"/>
      <c r="P346" s="298"/>
      <c r="Q346" s="298"/>
      <c r="R346" s="298"/>
      <c r="S346" s="298"/>
      <c r="T346" s="298"/>
      <c r="U346" s="298"/>
      <c r="V346" s="298"/>
      <c r="W346" s="298"/>
      <c r="X346" s="298"/>
      <c r="Y346" s="298"/>
      <c r="Z346" s="298"/>
      <c r="AA346" s="298"/>
      <c r="AB346" s="298"/>
      <c r="AC346" s="298"/>
      <c r="AD346" s="298"/>
      <c r="AE346" s="298"/>
      <c r="AF346" s="298"/>
      <c r="AG346" s="298"/>
      <c r="AH346" s="296"/>
      <c r="AI346" s="296"/>
      <c r="AJ346" s="296"/>
      <c r="AK346" s="499"/>
      <c r="AL346" s="499"/>
      <c r="AM346" s="499"/>
      <c r="AN346" s="499"/>
      <c r="AO346" s="499"/>
      <c r="AP346" s="499"/>
      <c r="AQ346" s="499">
        <f t="shared" si="101"/>
        <v>2400</v>
      </c>
      <c r="AR346" s="499">
        <f t="shared" si="101"/>
        <v>648</v>
      </c>
      <c r="AS346" s="499">
        <f t="shared" si="101"/>
        <v>3048</v>
      </c>
      <c r="AT346" s="499">
        <v>2400</v>
      </c>
      <c r="AU346" s="499">
        <v>648</v>
      </c>
      <c r="AV346" s="499">
        <f t="shared" si="96"/>
        <v>3048</v>
      </c>
      <c r="AW346" s="499"/>
      <c r="AX346" s="499"/>
      <c r="AY346" s="499"/>
      <c r="AZ346" s="499">
        <v>2400</v>
      </c>
      <c r="BA346" s="499">
        <v>648</v>
      </c>
      <c r="BB346" s="499">
        <v>3048</v>
      </c>
      <c r="BC346" s="499">
        <f t="shared" si="99"/>
        <v>-2400</v>
      </c>
      <c r="BD346" s="499">
        <f t="shared" si="99"/>
        <v>-648</v>
      </c>
      <c r="BE346" s="499">
        <f t="shared" si="99"/>
        <v>-3048</v>
      </c>
      <c r="BF346" s="499">
        <v>0</v>
      </c>
      <c r="BG346" s="499">
        <v>0</v>
      </c>
      <c r="BH346" s="499">
        <f>SUM(BF346:BG346)</f>
        <v>0</v>
      </c>
      <c r="BI346" s="723"/>
      <c r="BJ346" s="723"/>
      <c r="BK346" s="723"/>
      <c r="BL346" s="723"/>
      <c r="BM346" s="723"/>
      <c r="BN346" s="723"/>
      <c r="BO346" s="723"/>
      <c r="BP346" s="519"/>
      <c r="BQ346" s="723"/>
      <c r="BR346" s="723"/>
      <c r="BS346" s="723"/>
      <c r="BT346" s="723"/>
      <c r="BU346" s="723"/>
      <c r="BV346" s="723"/>
      <c r="BW346" s="723"/>
      <c r="BX346" s="723"/>
      <c r="BY346" s="519"/>
      <c r="BZ346" s="723"/>
      <c r="CA346" s="723"/>
      <c r="CB346" s="516">
        <v>0</v>
      </c>
      <c r="CC346" s="297">
        <v>0</v>
      </c>
      <c r="CD346" s="723"/>
    </row>
    <row r="347" spans="1:82" ht="22.5" x14ac:dyDescent="0.2">
      <c r="A347" s="703"/>
      <c r="B347" s="292" t="s">
        <v>1381</v>
      </c>
      <c r="C347" s="340" t="s">
        <v>1156</v>
      </c>
      <c r="D347" s="512"/>
      <c r="E347" s="703"/>
      <c r="F347" s="311" t="s">
        <v>1236</v>
      </c>
      <c r="G347" s="505"/>
      <c r="H347" s="505"/>
      <c r="I347" s="300"/>
      <c r="J347" s="300"/>
      <c r="K347" s="300"/>
      <c r="L347" s="300"/>
      <c r="M347" s="298"/>
      <c r="N347" s="298"/>
      <c r="O347" s="321"/>
      <c r="P347" s="298"/>
      <c r="Q347" s="298"/>
      <c r="R347" s="298"/>
      <c r="S347" s="298"/>
      <c r="T347" s="298"/>
      <c r="U347" s="298"/>
      <c r="V347" s="298"/>
      <c r="W347" s="298"/>
      <c r="X347" s="298"/>
      <c r="Y347" s="298"/>
      <c r="Z347" s="298"/>
      <c r="AA347" s="298"/>
      <c r="AB347" s="298"/>
      <c r="AC347" s="298"/>
      <c r="AD347" s="298"/>
      <c r="AE347" s="298"/>
      <c r="AF347" s="298"/>
      <c r="AG347" s="298"/>
      <c r="AH347" s="296"/>
      <c r="AI347" s="296"/>
      <c r="AJ347" s="296"/>
      <c r="AK347" s="499"/>
      <c r="AL347" s="499"/>
      <c r="AM347" s="499"/>
      <c r="AN347" s="499"/>
      <c r="AO347" s="499"/>
      <c r="AP347" s="499"/>
      <c r="AQ347" s="499">
        <f t="shared" si="101"/>
        <v>2360</v>
      </c>
      <c r="AR347" s="499">
        <f t="shared" si="101"/>
        <v>637</v>
      </c>
      <c r="AS347" s="499">
        <f t="shared" si="101"/>
        <v>2997</v>
      </c>
      <c r="AT347" s="499">
        <v>2360</v>
      </c>
      <c r="AU347" s="499">
        <v>637</v>
      </c>
      <c r="AV347" s="499">
        <f t="shared" si="96"/>
        <v>2997</v>
      </c>
      <c r="AW347" s="499"/>
      <c r="AX347" s="499"/>
      <c r="AY347" s="499"/>
      <c r="AZ347" s="499">
        <v>2360</v>
      </c>
      <c r="BA347" s="499">
        <v>637</v>
      </c>
      <c r="BB347" s="499">
        <v>2997</v>
      </c>
      <c r="BC347" s="499">
        <f t="shared" si="99"/>
        <v>-2360</v>
      </c>
      <c r="BD347" s="499">
        <f t="shared" si="99"/>
        <v>-637</v>
      </c>
      <c r="BE347" s="499">
        <f t="shared" si="99"/>
        <v>-2997</v>
      </c>
      <c r="BF347" s="499">
        <v>0</v>
      </c>
      <c r="BG347" s="499">
        <v>0</v>
      </c>
      <c r="BH347" s="499">
        <f t="shared" ref="BH347:BH354" si="102">SUM(BF347:BG347)</f>
        <v>0</v>
      </c>
      <c r="BI347" s="723"/>
      <c r="BJ347" s="723"/>
      <c r="BK347" s="723"/>
      <c r="BL347" s="723"/>
      <c r="BM347" s="723"/>
      <c r="BN347" s="723"/>
      <c r="BO347" s="723"/>
      <c r="BP347" s="519"/>
      <c r="BQ347" s="723"/>
      <c r="BR347" s="723"/>
      <c r="BS347" s="723"/>
      <c r="BT347" s="723"/>
      <c r="BU347" s="723"/>
      <c r="BV347" s="723"/>
      <c r="BW347" s="723"/>
      <c r="BX347" s="723"/>
      <c r="BY347" s="519"/>
      <c r="BZ347" s="723"/>
      <c r="CA347" s="723"/>
      <c r="CB347" s="516">
        <v>0</v>
      </c>
      <c r="CC347" s="297">
        <v>0</v>
      </c>
      <c r="CD347" s="723"/>
    </row>
    <row r="348" spans="1:82" ht="22.5" x14ac:dyDescent="0.2">
      <c r="A348" s="703"/>
      <c r="B348" s="292" t="s">
        <v>1381</v>
      </c>
      <c r="C348" s="340" t="s">
        <v>1571</v>
      </c>
      <c r="D348" s="512"/>
      <c r="E348" s="703"/>
      <c r="F348" s="294" t="s">
        <v>1237</v>
      </c>
      <c r="G348" s="505"/>
      <c r="H348" s="505"/>
      <c r="I348" s="300"/>
      <c r="J348" s="300"/>
      <c r="K348" s="300"/>
      <c r="L348" s="300"/>
      <c r="M348" s="298"/>
      <c r="N348" s="298"/>
      <c r="O348" s="321"/>
      <c r="P348" s="298"/>
      <c r="Q348" s="298"/>
      <c r="R348" s="298"/>
      <c r="S348" s="298"/>
      <c r="T348" s="298"/>
      <c r="U348" s="298"/>
      <c r="V348" s="298"/>
      <c r="W348" s="298"/>
      <c r="X348" s="298"/>
      <c r="Y348" s="298"/>
      <c r="Z348" s="298"/>
      <c r="AA348" s="298"/>
      <c r="AB348" s="298"/>
      <c r="AC348" s="298"/>
      <c r="AD348" s="298"/>
      <c r="AE348" s="298"/>
      <c r="AF348" s="298"/>
      <c r="AG348" s="298"/>
      <c r="AH348" s="296"/>
      <c r="AI348" s="296"/>
      <c r="AJ348" s="296"/>
      <c r="AK348" s="499"/>
      <c r="AL348" s="499"/>
      <c r="AM348" s="499"/>
      <c r="AN348" s="499"/>
      <c r="AO348" s="499"/>
      <c r="AP348" s="499"/>
      <c r="AQ348" s="499">
        <f t="shared" si="101"/>
        <v>2039</v>
      </c>
      <c r="AR348" s="499">
        <f t="shared" si="101"/>
        <v>551</v>
      </c>
      <c r="AS348" s="499">
        <f t="shared" si="101"/>
        <v>2590</v>
      </c>
      <c r="AT348" s="499">
        <v>2039</v>
      </c>
      <c r="AU348" s="499">
        <v>551</v>
      </c>
      <c r="AV348" s="499">
        <f t="shared" si="96"/>
        <v>2590</v>
      </c>
      <c r="AW348" s="499"/>
      <c r="AX348" s="499"/>
      <c r="AY348" s="499"/>
      <c r="AZ348" s="499">
        <v>2039</v>
      </c>
      <c r="BA348" s="499">
        <v>551</v>
      </c>
      <c r="BB348" s="499">
        <v>2590</v>
      </c>
      <c r="BC348" s="499">
        <f t="shared" si="99"/>
        <v>0</v>
      </c>
      <c r="BD348" s="499">
        <f t="shared" si="99"/>
        <v>0</v>
      </c>
      <c r="BE348" s="499">
        <f t="shared" si="99"/>
        <v>0</v>
      </c>
      <c r="BF348" s="499">
        <v>2039</v>
      </c>
      <c r="BG348" s="499">
        <v>551</v>
      </c>
      <c r="BH348" s="499">
        <f t="shared" si="102"/>
        <v>2590</v>
      </c>
      <c r="BI348" s="723"/>
      <c r="BJ348" s="723"/>
      <c r="BK348" s="723"/>
      <c r="BL348" s="723"/>
      <c r="BM348" s="723"/>
      <c r="BN348" s="723"/>
      <c r="BO348" s="723"/>
      <c r="BP348" s="519"/>
      <c r="BQ348" s="723"/>
      <c r="BR348" s="723"/>
      <c r="BS348" s="723"/>
      <c r="BT348" s="723"/>
      <c r="BU348" s="723"/>
      <c r="BV348" s="723"/>
      <c r="BW348" s="723"/>
      <c r="BX348" s="723"/>
      <c r="BY348" s="519"/>
      <c r="BZ348" s="723"/>
      <c r="CA348" s="723"/>
      <c r="CB348" s="516">
        <v>2039000</v>
      </c>
      <c r="CC348" s="297">
        <v>2589</v>
      </c>
      <c r="CD348" s="723"/>
    </row>
    <row r="349" spans="1:82" x14ac:dyDescent="0.2">
      <c r="A349" s="703"/>
      <c r="B349" s="292" t="s">
        <v>1381</v>
      </c>
      <c r="C349" s="340" t="s">
        <v>1572</v>
      </c>
      <c r="D349" s="512"/>
      <c r="E349" s="703"/>
      <c r="F349" s="294" t="s">
        <v>1238</v>
      </c>
      <c r="G349" s="505"/>
      <c r="H349" s="505"/>
      <c r="I349" s="300"/>
      <c r="J349" s="300"/>
      <c r="K349" s="300"/>
      <c r="L349" s="300"/>
      <c r="M349" s="298"/>
      <c r="N349" s="298"/>
      <c r="O349" s="321"/>
      <c r="P349" s="298"/>
      <c r="Q349" s="298"/>
      <c r="R349" s="298"/>
      <c r="S349" s="298"/>
      <c r="T349" s="298"/>
      <c r="U349" s="298"/>
      <c r="V349" s="298"/>
      <c r="W349" s="298"/>
      <c r="X349" s="298"/>
      <c r="Y349" s="298"/>
      <c r="Z349" s="298"/>
      <c r="AA349" s="298"/>
      <c r="AB349" s="298"/>
      <c r="AC349" s="298"/>
      <c r="AD349" s="298"/>
      <c r="AE349" s="298"/>
      <c r="AF349" s="298"/>
      <c r="AG349" s="298"/>
      <c r="AH349" s="296"/>
      <c r="AI349" s="296"/>
      <c r="AJ349" s="296"/>
      <c r="AK349" s="499"/>
      <c r="AL349" s="499"/>
      <c r="AM349" s="499"/>
      <c r="AN349" s="499"/>
      <c r="AO349" s="499"/>
      <c r="AP349" s="499"/>
      <c r="AQ349" s="499">
        <f t="shared" si="101"/>
        <v>361</v>
      </c>
      <c r="AR349" s="499">
        <f t="shared" si="101"/>
        <v>97</v>
      </c>
      <c r="AS349" s="499">
        <f t="shared" si="101"/>
        <v>458</v>
      </c>
      <c r="AT349" s="499">
        <v>361</v>
      </c>
      <c r="AU349" s="499">
        <v>97</v>
      </c>
      <c r="AV349" s="499">
        <f t="shared" si="96"/>
        <v>458</v>
      </c>
      <c r="AW349" s="499"/>
      <c r="AX349" s="499"/>
      <c r="AY349" s="499"/>
      <c r="AZ349" s="499">
        <v>361</v>
      </c>
      <c r="BA349" s="499">
        <v>97</v>
      </c>
      <c r="BB349" s="499">
        <v>458</v>
      </c>
      <c r="BC349" s="499">
        <f t="shared" si="99"/>
        <v>0</v>
      </c>
      <c r="BD349" s="499">
        <f t="shared" si="99"/>
        <v>0</v>
      </c>
      <c r="BE349" s="499">
        <f t="shared" si="99"/>
        <v>0</v>
      </c>
      <c r="BF349" s="499">
        <v>361</v>
      </c>
      <c r="BG349" s="499">
        <v>97</v>
      </c>
      <c r="BH349" s="499">
        <f t="shared" si="102"/>
        <v>458</v>
      </c>
      <c r="BI349" s="723"/>
      <c r="BJ349" s="723"/>
      <c r="BK349" s="723"/>
      <c r="BL349" s="723"/>
      <c r="BM349" s="723"/>
      <c r="BN349" s="723"/>
      <c r="BO349" s="723"/>
      <c r="BP349" s="519"/>
      <c r="BQ349" s="723"/>
      <c r="BR349" s="723"/>
      <c r="BS349" s="723"/>
      <c r="BT349" s="723"/>
      <c r="BU349" s="723"/>
      <c r="BV349" s="723"/>
      <c r="BW349" s="723"/>
      <c r="BX349" s="723"/>
      <c r="BY349" s="519"/>
      <c r="BZ349" s="723"/>
      <c r="CA349" s="723"/>
      <c r="CB349" s="516">
        <v>360800</v>
      </c>
      <c r="CC349" s="297">
        <v>458</v>
      </c>
      <c r="CD349" s="723"/>
    </row>
    <row r="350" spans="1:82" ht="26.25" customHeight="1" x14ac:dyDescent="0.2">
      <c r="A350" s="703"/>
      <c r="B350" s="292" t="s">
        <v>1381</v>
      </c>
      <c r="C350" s="340" t="s">
        <v>1573</v>
      </c>
      <c r="D350" s="512"/>
      <c r="E350" s="703"/>
      <c r="F350" s="311" t="s">
        <v>1574</v>
      </c>
      <c r="G350" s="505"/>
      <c r="H350" s="505"/>
      <c r="I350" s="300"/>
      <c r="J350" s="300"/>
      <c r="K350" s="300"/>
      <c r="L350" s="300"/>
      <c r="M350" s="298"/>
      <c r="N350" s="298"/>
      <c r="O350" s="321"/>
      <c r="P350" s="298"/>
      <c r="Q350" s="298"/>
      <c r="R350" s="298"/>
      <c r="S350" s="298"/>
      <c r="T350" s="298"/>
      <c r="U350" s="298"/>
      <c r="V350" s="298"/>
      <c r="W350" s="298"/>
      <c r="X350" s="298"/>
      <c r="Y350" s="298"/>
      <c r="Z350" s="298"/>
      <c r="AA350" s="298"/>
      <c r="AB350" s="298"/>
      <c r="AC350" s="298"/>
      <c r="AD350" s="298"/>
      <c r="AE350" s="298"/>
      <c r="AF350" s="298"/>
      <c r="AG350" s="298"/>
      <c r="AH350" s="296"/>
      <c r="AI350" s="296"/>
      <c r="AJ350" s="296"/>
      <c r="AK350" s="499"/>
      <c r="AL350" s="499"/>
      <c r="AM350" s="499"/>
      <c r="AN350" s="499"/>
      <c r="AO350" s="499"/>
      <c r="AP350" s="499"/>
      <c r="AQ350" s="499"/>
      <c r="AR350" s="499"/>
      <c r="AS350" s="499"/>
      <c r="AT350" s="499"/>
      <c r="AU350" s="499"/>
      <c r="AV350" s="499"/>
      <c r="AW350" s="499"/>
      <c r="AX350" s="499"/>
      <c r="AY350" s="499"/>
      <c r="AZ350" s="499"/>
      <c r="BA350" s="499"/>
      <c r="BB350" s="499"/>
      <c r="BC350" s="499">
        <f t="shared" si="99"/>
        <v>7372</v>
      </c>
      <c r="BD350" s="499">
        <f t="shared" si="99"/>
        <v>1990</v>
      </c>
      <c r="BE350" s="499">
        <f t="shared" si="99"/>
        <v>9362</v>
      </c>
      <c r="BF350" s="499">
        <v>7372</v>
      </c>
      <c r="BG350" s="499">
        <v>1990</v>
      </c>
      <c r="BH350" s="499">
        <f t="shared" si="102"/>
        <v>9362</v>
      </c>
      <c r="BI350" s="723"/>
      <c r="BJ350" s="723"/>
      <c r="BK350" s="723"/>
      <c r="BL350" s="723"/>
      <c r="BM350" s="723"/>
      <c r="BN350" s="723"/>
      <c r="BO350" s="723"/>
      <c r="BP350" s="519"/>
      <c r="BQ350" s="723"/>
      <c r="BR350" s="723"/>
      <c r="BS350" s="723"/>
      <c r="BT350" s="723"/>
      <c r="BU350" s="723"/>
      <c r="BV350" s="723"/>
      <c r="BW350" s="723"/>
      <c r="BX350" s="723"/>
      <c r="BY350" s="519"/>
      <c r="BZ350" s="723"/>
      <c r="CA350" s="723"/>
      <c r="CB350" s="516">
        <v>7371600</v>
      </c>
      <c r="CC350" s="297">
        <v>9362</v>
      </c>
      <c r="CD350" s="723"/>
    </row>
    <row r="351" spans="1:82" ht="22.5" x14ac:dyDescent="0.2">
      <c r="A351" s="703"/>
      <c r="B351" s="292" t="s">
        <v>1381</v>
      </c>
      <c r="C351" s="340" t="s">
        <v>1575</v>
      </c>
      <c r="D351" s="512" t="s">
        <v>729</v>
      </c>
      <c r="E351" s="703"/>
      <c r="F351" s="311" t="s">
        <v>1576</v>
      </c>
      <c r="G351" s="505"/>
      <c r="H351" s="505"/>
      <c r="I351" s="300"/>
      <c r="J351" s="300"/>
      <c r="K351" s="300"/>
      <c r="L351" s="300"/>
      <c r="M351" s="298"/>
      <c r="N351" s="298"/>
      <c r="O351" s="321"/>
      <c r="P351" s="298"/>
      <c r="Q351" s="298"/>
      <c r="R351" s="298"/>
      <c r="S351" s="298"/>
      <c r="T351" s="298"/>
      <c r="U351" s="298"/>
      <c r="V351" s="298"/>
      <c r="W351" s="298"/>
      <c r="X351" s="298"/>
      <c r="Y351" s="298"/>
      <c r="Z351" s="298"/>
      <c r="AA351" s="298"/>
      <c r="AB351" s="298"/>
      <c r="AC351" s="298"/>
      <c r="AD351" s="298"/>
      <c r="AE351" s="298"/>
      <c r="AF351" s="298"/>
      <c r="AG351" s="298"/>
      <c r="AH351" s="296"/>
      <c r="AI351" s="296"/>
      <c r="AJ351" s="296"/>
      <c r="AK351" s="499"/>
      <c r="AL351" s="499"/>
      <c r="AM351" s="499"/>
      <c r="AN351" s="499"/>
      <c r="AO351" s="499"/>
      <c r="AP351" s="499"/>
      <c r="AQ351" s="499"/>
      <c r="AR351" s="499"/>
      <c r="AS351" s="499"/>
      <c r="AT351" s="499"/>
      <c r="AU351" s="499"/>
      <c r="AV351" s="499"/>
      <c r="AW351" s="499"/>
      <c r="AX351" s="499"/>
      <c r="AY351" s="499"/>
      <c r="AZ351" s="499"/>
      <c r="BA351" s="499"/>
      <c r="BB351" s="499"/>
      <c r="BC351" s="499">
        <f t="shared" si="99"/>
        <v>706</v>
      </c>
      <c r="BD351" s="499">
        <f t="shared" si="99"/>
        <v>0</v>
      </c>
      <c r="BE351" s="499">
        <f t="shared" si="99"/>
        <v>706</v>
      </c>
      <c r="BF351" s="499">
        <v>706</v>
      </c>
      <c r="BG351" s="499">
        <v>0</v>
      </c>
      <c r="BH351" s="499">
        <f t="shared" si="102"/>
        <v>706</v>
      </c>
      <c r="BI351" s="723"/>
      <c r="BJ351" s="723"/>
      <c r="BK351" s="723"/>
      <c r="BL351" s="723"/>
      <c r="BM351" s="723"/>
      <c r="BN351" s="723"/>
      <c r="BO351" s="723"/>
      <c r="BP351" s="519"/>
      <c r="BQ351" s="723"/>
      <c r="BR351" s="723"/>
      <c r="BS351" s="723"/>
      <c r="BT351" s="723"/>
      <c r="BU351" s="723"/>
      <c r="BV351" s="723"/>
      <c r="BW351" s="723"/>
      <c r="BX351" s="723"/>
      <c r="BY351" s="519"/>
      <c r="BZ351" s="723"/>
      <c r="CA351" s="723"/>
      <c r="CB351" s="516">
        <v>706180</v>
      </c>
      <c r="CC351" s="297">
        <v>706</v>
      </c>
      <c r="CD351" s="723"/>
    </row>
    <row r="352" spans="1:82" ht="22.5" x14ac:dyDescent="0.2">
      <c r="A352" s="703"/>
      <c r="B352" s="292" t="s">
        <v>1381</v>
      </c>
      <c r="C352" s="340" t="s">
        <v>1577</v>
      </c>
      <c r="D352" s="512" t="s">
        <v>729</v>
      </c>
      <c r="E352" s="703"/>
      <c r="F352" s="311" t="s">
        <v>1578</v>
      </c>
      <c r="G352" s="505"/>
      <c r="H352" s="505"/>
      <c r="I352" s="300"/>
      <c r="J352" s="300"/>
      <c r="K352" s="300"/>
      <c r="L352" s="300"/>
      <c r="M352" s="298"/>
      <c r="N352" s="298"/>
      <c r="O352" s="321"/>
      <c r="P352" s="298"/>
      <c r="Q352" s="298"/>
      <c r="R352" s="298"/>
      <c r="S352" s="298"/>
      <c r="T352" s="298"/>
      <c r="U352" s="298"/>
      <c r="V352" s="298"/>
      <c r="W352" s="298"/>
      <c r="X352" s="298"/>
      <c r="Y352" s="298"/>
      <c r="Z352" s="298"/>
      <c r="AA352" s="298"/>
      <c r="AB352" s="298"/>
      <c r="AC352" s="298"/>
      <c r="AD352" s="298"/>
      <c r="AE352" s="298"/>
      <c r="AF352" s="298"/>
      <c r="AG352" s="298"/>
      <c r="AH352" s="296"/>
      <c r="AI352" s="296"/>
      <c r="AJ352" s="296"/>
      <c r="AK352" s="499"/>
      <c r="AL352" s="499"/>
      <c r="AM352" s="499"/>
      <c r="AN352" s="499"/>
      <c r="AO352" s="499"/>
      <c r="AP352" s="499"/>
      <c r="AQ352" s="499"/>
      <c r="AR352" s="499"/>
      <c r="AS352" s="499"/>
      <c r="AT352" s="499"/>
      <c r="AU352" s="499"/>
      <c r="AV352" s="499"/>
      <c r="AW352" s="499"/>
      <c r="AX352" s="499"/>
      <c r="AY352" s="499"/>
      <c r="AZ352" s="499"/>
      <c r="BA352" s="499"/>
      <c r="BB352" s="499"/>
      <c r="BC352" s="499">
        <f t="shared" si="99"/>
        <v>1702</v>
      </c>
      <c r="BD352" s="499">
        <f t="shared" si="99"/>
        <v>0</v>
      </c>
      <c r="BE352" s="499">
        <f t="shared" si="99"/>
        <v>1702</v>
      </c>
      <c r="BF352" s="499">
        <v>1702</v>
      </c>
      <c r="BG352" s="499">
        <v>0</v>
      </c>
      <c r="BH352" s="499">
        <f t="shared" si="102"/>
        <v>1702</v>
      </c>
      <c r="BI352" s="723"/>
      <c r="BJ352" s="723"/>
      <c r="BK352" s="723"/>
      <c r="BL352" s="723"/>
      <c r="BM352" s="723"/>
      <c r="BN352" s="723"/>
      <c r="BO352" s="723"/>
      <c r="BP352" s="519"/>
      <c r="BQ352" s="723"/>
      <c r="BR352" s="723"/>
      <c r="BS352" s="723"/>
      <c r="BT352" s="723"/>
      <c r="BU352" s="723"/>
      <c r="BV352" s="723"/>
      <c r="BW352" s="723"/>
      <c r="BX352" s="723"/>
      <c r="BY352" s="519"/>
      <c r="BZ352" s="723"/>
      <c r="CA352" s="723"/>
      <c r="CB352" s="516">
        <v>1702550</v>
      </c>
      <c r="CC352" s="297">
        <v>1702</v>
      </c>
      <c r="CD352" s="723"/>
    </row>
    <row r="353" spans="1:82" x14ac:dyDescent="0.2">
      <c r="A353" s="703"/>
      <c r="B353" s="292" t="s">
        <v>1381</v>
      </c>
      <c r="C353" s="340" t="s">
        <v>1579</v>
      </c>
      <c r="D353" s="512" t="s">
        <v>729</v>
      </c>
      <c r="E353" s="703"/>
      <c r="F353" s="311" t="s">
        <v>1580</v>
      </c>
      <c r="G353" s="505"/>
      <c r="H353" s="505"/>
      <c r="I353" s="300"/>
      <c r="J353" s="300"/>
      <c r="K353" s="300"/>
      <c r="L353" s="300"/>
      <c r="M353" s="298"/>
      <c r="N353" s="298"/>
      <c r="O353" s="321"/>
      <c r="P353" s="298"/>
      <c r="Q353" s="298"/>
      <c r="R353" s="298"/>
      <c r="S353" s="298"/>
      <c r="T353" s="298"/>
      <c r="U353" s="298"/>
      <c r="V353" s="298"/>
      <c r="W353" s="298"/>
      <c r="X353" s="298"/>
      <c r="Y353" s="298"/>
      <c r="Z353" s="298"/>
      <c r="AA353" s="298"/>
      <c r="AB353" s="298"/>
      <c r="AC353" s="298"/>
      <c r="AD353" s="298"/>
      <c r="AE353" s="298"/>
      <c r="AF353" s="298"/>
      <c r="AG353" s="298"/>
      <c r="AH353" s="296"/>
      <c r="AI353" s="296"/>
      <c r="AJ353" s="296"/>
      <c r="AK353" s="499"/>
      <c r="AL353" s="499"/>
      <c r="AM353" s="499"/>
      <c r="AN353" s="499"/>
      <c r="AO353" s="499"/>
      <c r="AP353" s="499"/>
      <c r="AQ353" s="499"/>
      <c r="AR353" s="499"/>
      <c r="AS353" s="499"/>
      <c r="AT353" s="499"/>
      <c r="AU353" s="499"/>
      <c r="AV353" s="499"/>
      <c r="AW353" s="499"/>
      <c r="AX353" s="499"/>
      <c r="AY353" s="499"/>
      <c r="AZ353" s="499"/>
      <c r="BA353" s="499"/>
      <c r="BB353" s="499"/>
      <c r="BC353" s="499">
        <f t="shared" si="99"/>
        <v>0</v>
      </c>
      <c r="BD353" s="499">
        <f t="shared" si="99"/>
        <v>0</v>
      </c>
      <c r="BE353" s="499">
        <f t="shared" si="99"/>
        <v>0</v>
      </c>
      <c r="BF353" s="499">
        <v>0</v>
      </c>
      <c r="BG353" s="499">
        <v>0</v>
      </c>
      <c r="BH353" s="499">
        <f t="shared" si="102"/>
        <v>0</v>
      </c>
      <c r="BI353" s="723"/>
      <c r="BJ353" s="723"/>
      <c r="BK353" s="723"/>
      <c r="BL353" s="723"/>
      <c r="BM353" s="723"/>
      <c r="BN353" s="723"/>
      <c r="BO353" s="723"/>
      <c r="BP353" s="519"/>
      <c r="BQ353" s="723"/>
      <c r="BR353" s="723"/>
      <c r="BS353" s="723"/>
      <c r="BT353" s="723"/>
      <c r="BU353" s="723"/>
      <c r="BV353" s="723"/>
      <c r="BW353" s="723"/>
      <c r="BX353" s="723"/>
      <c r="BY353" s="519"/>
      <c r="BZ353" s="723"/>
      <c r="CA353" s="723"/>
      <c r="CB353" s="516"/>
      <c r="CC353" s="297">
        <v>0</v>
      </c>
      <c r="CD353" s="723"/>
    </row>
    <row r="354" spans="1:82" ht="22.5" x14ac:dyDescent="0.2">
      <c r="A354" s="703"/>
      <c r="B354" s="292" t="s">
        <v>1381</v>
      </c>
      <c r="C354" s="340" t="s">
        <v>1581</v>
      </c>
      <c r="D354" s="512"/>
      <c r="E354" s="703"/>
      <c r="F354" s="311" t="s">
        <v>1582</v>
      </c>
      <c r="G354" s="505"/>
      <c r="H354" s="505"/>
      <c r="I354" s="300"/>
      <c r="J354" s="300"/>
      <c r="K354" s="300"/>
      <c r="L354" s="300"/>
      <c r="M354" s="298"/>
      <c r="N354" s="298"/>
      <c r="O354" s="321"/>
      <c r="P354" s="298"/>
      <c r="Q354" s="298"/>
      <c r="R354" s="298"/>
      <c r="S354" s="298"/>
      <c r="T354" s="298"/>
      <c r="U354" s="298"/>
      <c r="V354" s="298"/>
      <c r="W354" s="298"/>
      <c r="X354" s="298"/>
      <c r="Y354" s="298"/>
      <c r="Z354" s="298"/>
      <c r="AA354" s="298"/>
      <c r="AB354" s="298"/>
      <c r="AC354" s="298"/>
      <c r="AD354" s="298"/>
      <c r="AE354" s="298"/>
      <c r="AF354" s="298"/>
      <c r="AG354" s="298"/>
      <c r="AH354" s="296"/>
      <c r="AI354" s="296"/>
      <c r="AJ354" s="296"/>
      <c r="AK354" s="499"/>
      <c r="AL354" s="499"/>
      <c r="AM354" s="499"/>
      <c r="AN354" s="499"/>
      <c r="AO354" s="499"/>
      <c r="AP354" s="499"/>
      <c r="AQ354" s="499"/>
      <c r="AR354" s="499"/>
      <c r="AS354" s="499"/>
      <c r="AT354" s="499"/>
      <c r="AU354" s="499"/>
      <c r="AV354" s="499"/>
      <c r="AW354" s="499"/>
      <c r="AX354" s="499"/>
      <c r="AY354" s="499"/>
      <c r="AZ354" s="499"/>
      <c r="BA354" s="499"/>
      <c r="BB354" s="499"/>
      <c r="BC354" s="499">
        <f t="shared" si="99"/>
        <v>2386</v>
      </c>
      <c r="BD354" s="499">
        <f t="shared" si="99"/>
        <v>644</v>
      </c>
      <c r="BE354" s="499">
        <f t="shared" si="99"/>
        <v>3030</v>
      </c>
      <c r="BF354" s="499">
        <v>2386</v>
      </c>
      <c r="BG354" s="499">
        <v>644</v>
      </c>
      <c r="BH354" s="499">
        <f t="shared" si="102"/>
        <v>3030</v>
      </c>
      <c r="BI354" s="723"/>
      <c r="BJ354" s="723"/>
      <c r="BK354" s="723"/>
      <c r="BL354" s="723"/>
      <c r="BM354" s="723"/>
      <c r="BN354" s="723"/>
      <c r="BO354" s="723"/>
      <c r="BP354" s="519"/>
      <c r="BQ354" s="723"/>
      <c r="BR354" s="723"/>
      <c r="BS354" s="723"/>
      <c r="BT354" s="723"/>
      <c r="BU354" s="723"/>
      <c r="BV354" s="723"/>
      <c r="BW354" s="723"/>
      <c r="BX354" s="723"/>
      <c r="BY354" s="519"/>
      <c r="BZ354" s="723"/>
      <c r="CA354" s="723"/>
      <c r="CB354" s="516">
        <v>2385600</v>
      </c>
      <c r="CC354" s="297">
        <v>3030</v>
      </c>
      <c r="CD354" s="723"/>
    </row>
    <row r="355" spans="1:82" x14ac:dyDescent="0.2">
      <c r="A355" s="703"/>
      <c r="B355" s="292" t="s">
        <v>1434</v>
      </c>
      <c r="C355" s="329" t="s">
        <v>961</v>
      </c>
      <c r="D355" s="341"/>
      <c r="E355" s="702" t="s">
        <v>962</v>
      </c>
      <c r="F355" s="294" t="s">
        <v>963</v>
      </c>
      <c r="G355" s="336"/>
      <c r="H355" s="296"/>
      <c r="I355" s="296"/>
      <c r="J355" s="296">
        <f t="shared" ref="J355:L357" si="103">M355-G355</f>
        <v>2887</v>
      </c>
      <c r="K355" s="296">
        <f t="shared" si="103"/>
        <v>780</v>
      </c>
      <c r="L355" s="296">
        <f t="shared" si="103"/>
        <v>3667</v>
      </c>
      <c r="M355" s="296">
        <v>2887</v>
      </c>
      <c r="N355" s="296">
        <v>780</v>
      </c>
      <c r="O355" s="296">
        <f>SUM(M355:N355)</f>
        <v>3667</v>
      </c>
      <c r="P355" s="296">
        <f t="shared" ref="P355:Q365" si="104">S355-M355</f>
        <v>0</v>
      </c>
      <c r="Q355" s="296">
        <f>T355-N355</f>
        <v>0</v>
      </c>
      <c r="R355" s="296">
        <f t="shared" ref="R355:R365" si="105">U355-O355</f>
        <v>0</v>
      </c>
      <c r="S355" s="296">
        <v>2887</v>
      </c>
      <c r="T355" s="296">
        <v>780</v>
      </c>
      <c r="U355" s="296">
        <f t="shared" ref="U355:U361" si="106">SUM(S355:T355)</f>
        <v>3667</v>
      </c>
      <c r="V355" s="296"/>
      <c r="W355" s="296"/>
      <c r="X355" s="296"/>
      <c r="Y355" s="296">
        <v>2887</v>
      </c>
      <c r="Z355" s="296">
        <v>780</v>
      </c>
      <c r="AA355" s="296">
        <v>3667</v>
      </c>
      <c r="AB355" s="296">
        <f t="shared" ref="AB355:AD393" si="107">AE355-S355</f>
        <v>-587</v>
      </c>
      <c r="AC355" s="296">
        <f t="shared" si="107"/>
        <v>-159</v>
      </c>
      <c r="AD355" s="296">
        <f t="shared" si="107"/>
        <v>-746</v>
      </c>
      <c r="AE355" s="296">
        <v>2300</v>
      </c>
      <c r="AF355" s="296">
        <v>621</v>
      </c>
      <c r="AG355" s="296">
        <f>SUM(AE355:AF355)</f>
        <v>2921</v>
      </c>
      <c r="AH355" s="299"/>
      <c r="AI355" s="296"/>
      <c r="AJ355" s="499"/>
      <c r="AK355" s="296"/>
      <c r="AL355" s="296"/>
      <c r="AM355" s="296"/>
      <c r="AN355" s="296"/>
      <c r="AO355" s="296"/>
      <c r="AP355" s="296"/>
      <c r="AQ355" s="296"/>
      <c r="AR355" s="296"/>
      <c r="AS355" s="296"/>
      <c r="AT355" s="296"/>
      <c r="AU355" s="296"/>
      <c r="AV355" s="296"/>
      <c r="AW355" s="296"/>
      <c r="AX355" s="296"/>
      <c r="AY355" s="296"/>
      <c r="AZ355" s="296"/>
      <c r="BA355" s="296"/>
      <c r="BB355" s="296"/>
      <c r="BC355" s="499"/>
      <c r="BD355" s="499"/>
      <c r="BE355" s="499"/>
      <c r="BF355" s="296"/>
      <c r="BG355" s="296"/>
      <c r="BH355" s="296"/>
      <c r="BI355" s="723"/>
      <c r="BJ355" s="723"/>
      <c r="BK355" s="723"/>
      <c r="BL355" s="723"/>
      <c r="BM355" s="723"/>
      <c r="BN355" s="723"/>
      <c r="BO355" s="723"/>
      <c r="BP355" s="511"/>
      <c r="BQ355" s="723"/>
      <c r="BR355" s="723"/>
      <c r="BS355" s="723"/>
      <c r="BT355" s="723"/>
      <c r="BU355" s="723"/>
      <c r="BV355" s="723"/>
      <c r="BW355" s="723"/>
      <c r="BX355" s="723"/>
      <c r="BY355" s="511"/>
      <c r="BZ355" s="723"/>
      <c r="CA355" s="723"/>
      <c r="CB355" s="516">
        <v>2299640</v>
      </c>
      <c r="CC355" s="297">
        <v>2921</v>
      </c>
      <c r="CD355" s="723"/>
    </row>
    <row r="356" spans="1:82" x14ac:dyDescent="0.2">
      <c r="A356" s="703"/>
      <c r="B356" s="292" t="s">
        <v>1434</v>
      </c>
      <c r="C356" s="329" t="s">
        <v>964</v>
      </c>
      <c r="D356" s="341"/>
      <c r="E356" s="703"/>
      <c r="F356" s="294" t="s">
        <v>965</v>
      </c>
      <c r="G356" s="336"/>
      <c r="H356" s="296"/>
      <c r="I356" s="296"/>
      <c r="J356" s="296">
        <f t="shared" si="103"/>
        <v>3994</v>
      </c>
      <c r="K356" s="296">
        <f t="shared" si="103"/>
        <v>1078</v>
      </c>
      <c r="L356" s="296">
        <f t="shared" si="103"/>
        <v>5072</v>
      </c>
      <c r="M356" s="296">
        <v>3994</v>
      </c>
      <c r="N356" s="296">
        <v>1078</v>
      </c>
      <c r="O356" s="296">
        <f>SUM(M356:N356)</f>
        <v>5072</v>
      </c>
      <c r="P356" s="296">
        <f t="shared" si="104"/>
        <v>0</v>
      </c>
      <c r="Q356" s="296">
        <f>T356-N356</f>
        <v>0</v>
      </c>
      <c r="R356" s="296">
        <f t="shared" si="105"/>
        <v>0</v>
      </c>
      <c r="S356" s="296">
        <v>3994</v>
      </c>
      <c r="T356" s="296">
        <v>1078</v>
      </c>
      <c r="U356" s="296">
        <f t="shared" si="106"/>
        <v>5072</v>
      </c>
      <c r="V356" s="296"/>
      <c r="W356" s="296"/>
      <c r="X356" s="296"/>
      <c r="Y356" s="296">
        <v>3994</v>
      </c>
      <c r="Z356" s="296">
        <v>1078</v>
      </c>
      <c r="AA356" s="296">
        <v>5072</v>
      </c>
      <c r="AB356" s="296">
        <f t="shared" si="107"/>
        <v>0</v>
      </c>
      <c r="AC356" s="296">
        <f t="shared" si="107"/>
        <v>0</v>
      </c>
      <c r="AD356" s="296">
        <f t="shared" si="107"/>
        <v>0</v>
      </c>
      <c r="AE356" s="296">
        <v>3994</v>
      </c>
      <c r="AF356" s="296">
        <v>1078</v>
      </c>
      <c r="AG356" s="296">
        <f>SUM(AE356:AF356)</f>
        <v>5072</v>
      </c>
      <c r="AH356" s="299"/>
      <c r="AI356" s="296"/>
      <c r="AJ356" s="499"/>
      <c r="AK356" s="296"/>
      <c r="AL356" s="296"/>
      <c r="AM356" s="296"/>
      <c r="AN356" s="296"/>
      <c r="AO356" s="296"/>
      <c r="AP356" s="296"/>
      <c r="AQ356" s="296"/>
      <c r="AR356" s="296"/>
      <c r="AS356" s="296"/>
      <c r="AT356" s="296"/>
      <c r="AU356" s="296"/>
      <c r="AV356" s="296"/>
      <c r="AW356" s="296"/>
      <c r="AX356" s="296"/>
      <c r="AY356" s="296"/>
      <c r="AZ356" s="296"/>
      <c r="BA356" s="296"/>
      <c r="BB356" s="296"/>
      <c r="BC356" s="499"/>
      <c r="BD356" s="499"/>
      <c r="BE356" s="499"/>
      <c r="BF356" s="296"/>
      <c r="BG356" s="296"/>
      <c r="BH356" s="296"/>
      <c r="BI356" s="723"/>
      <c r="BJ356" s="723"/>
      <c r="BK356" s="723"/>
      <c r="BL356" s="723"/>
      <c r="BM356" s="723"/>
      <c r="BN356" s="723"/>
      <c r="BO356" s="723"/>
      <c r="BP356" s="511"/>
      <c r="BQ356" s="723"/>
      <c r="BR356" s="723"/>
      <c r="BS356" s="723"/>
      <c r="BT356" s="723"/>
      <c r="BU356" s="723"/>
      <c r="BV356" s="723"/>
      <c r="BW356" s="723"/>
      <c r="BX356" s="723"/>
      <c r="BY356" s="511"/>
      <c r="BZ356" s="723"/>
      <c r="CA356" s="723"/>
      <c r="CB356" s="516">
        <v>3993980</v>
      </c>
      <c r="CC356" s="297">
        <v>5072</v>
      </c>
      <c r="CD356" s="723"/>
    </row>
    <row r="357" spans="1:82" ht="22.5" x14ac:dyDescent="0.2">
      <c r="A357" s="703"/>
      <c r="B357" s="342" t="s">
        <v>1438</v>
      </c>
      <c r="C357" s="329" t="s">
        <v>966</v>
      </c>
      <c r="D357" s="341"/>
      <c r="E357" s="703"/>
      <c r="F357" s="294" t="s">
        <v>1239</v>
      </c>
      <c r="G357" s="336"/>
      <c r="H357" s="296"/>
      <c r="I357" s="296"/>
      <c r="J357" s="296">
        <f t="shared" si="103"/>
        <v>657</v>
      </c>
      <c r="K357" s="296">
        <f t="shared" si="103"/>
        <v>177</v>
      </c>
      <c r="L357" s="296">
        <f t="shared" si="103"/>
        <v>834</v>
      </c>
      <c r="M357" s="296">
        <v>657</v>
      </c>
      <c r="N357" s="296">
        <v>177</v>
      </c>
      <c r="O357" s="296">
        <f>SUM(M357:N357)</f>
        <v>834</v>
      </c>
      <c r="P357" s="296">
        <f>S357-M357</f>
        <v>0</v>
      </c>
      <c r="Q357" s="296">
        <f>T357-N357</f>
        <v>0</v>
      </c>
      <c r="R357" s="296">
        <f>U357-O357</f>
        <v>0</v>
      </c>
      <c r="S357" s="296">
        <v>657</v>
      </c>
      <c r="T357" s="296">
        <v>177</v>
      </c>
      <c r="U357" s="296">
        <f t="shared" si="106"/>
        <v>834</v>
      </c>
      <c r="V357" s="296"/>
      <c r="W357" s="296"/>
      <c r="X357" s="296"/>
      <c r="Y357" s="296">
        <v>657</v>
      </c>
      <c r="Z357" s="296">
        <v>177</v>
      </c>
      <c r="AA357" s="296">
        <v>834</v>
      </c>
      <c r="AB357" s="296">
        <f t="shared" si="107"/>
        <v>0</v>
      </c>
      <c r="AC357" s="296">
        <f t="shared" si="107"/>
        <v>0</v>
      </c>
      <c r="AD357" s="296">
        <f t="shared" si="107"/>
        <v>0</v>
      </c>
      <c r="AE357" s="296">
        <v>657</v>
      </c>
      <c r="AF357" s="296">
        <v>177</v>
      </c>
      <c r="AG357" s="296">
        <f t="shared" ref="AG357:AG358" si="108">SUM(AE357:AF357)</f>
        <v>834</v>
      </c>
      <c r="AH357" s="299"/>
      <c r="AI357" s="296"/>
      <c r="AJ357" s="499"/>
      <c r="AK357" s="296"/>
      <c r="AL357" s="296"/>
      <c r="AM357" s="296"/>
      <c r="AN357" s="296"/>
      <c r="AO357" s="296"/>
      <c r="AP357" s="296"/>
      <c r="AQ357" s="296"/>
      <c r="AR357" s="296"/>
      <c r="AS357" s="296"/>
      <c r="AT357" s="296"/>
      <c r="AU357" s="296"/>
      <c r="AV357" s="296"/>
      <c r="AW357" s="296"/>
      <c r="AX357" s="296"/>
      <c r="AY357" s="296"/>
      <c r="AZ357" s="296"/>
      <c r="BA357" s="296"/>
      <c r="BB357" s="296"/>
      <c r="BC357" s="499"/>
      <c r="BD357" s="499"/>
      <c r="BE357" s="499"/>
      <c r="BF357" s="296"/>
      <c r="BG357" s="296"/>
      <c r="BH357" s="296"/>
      <c r="BI357" s="723"/>
      <c r="BJ357" s="723"/>
      <c r="BK357" s="723"/>
      <c r="BL357" s="723"/>
      <c r="BM357" s="723"/>
      <c r="BN357" s="723"/>
      <c r="BO357" s="723"/>
      <c r="BP357" s="511"/>
      <c r="BQ357" s="723"/>
      <c r="BR357" s="723"/>
      <c r="BS357" s="723"/>
      <c r="BT357" s="723"/>
      <c r="BU357" s="723"/>
      <c r="BV357" s="723"/>
      <c r="BW357" s="723"/>
      <c r="BX357" s="723"/>
      <c r="BY357" s="511"/>
      <c r="BZ357" s="723"/>
      <c r="CA357" s="723"/>
      <c r="CB357" s="516">
        <v>657410</v>
      </c>
      <c r="CC357" s="297">
        <v>835</v>
      </c>
      <c r="CD357" s="723"/>
    </row>
    <row r="358" spans="1:82" ht="22.5" x14ac:dyDescent="0.2">
      <c r="A358" s="703"/>
      <c r="B358" s="292" t="s">
        <v>1434</v>
      </c>
      <c r="C358" s="340" t="s">
        <v>1583</v>
      </c>
      <c r="D358" s="341"/>
      <c r="E358" s="703"/>
      <c r="F358" s="294" t="s">
        <v>1584</v>
      </c>
      <c r="G358" s="336"/>
      <c r="H358" s="296"/>
      <c r="I358" s="296"/>
      <c r="J358" s="296"/>
      <c r="K358" s="296"/>
      <c r="L358" s="296"/>
      <c r="M358" s="296"/>
      <c r="N358" s="296"/>
      <c r="O358" s="296"/>
      <c r="P358" s="296">
        <f>S358-M358</f>
        <v>681</v>
      </c>
      <c r="Q358" s="296">
        <f>T358-N358</f>
        <v>184</v>
      </c>
      <c r="R358" s="296">
        <f>U358-O358</f>
        <v>865</v>
      </c>
      <c r="S358" s="296">
        <v>681</v>
      </c>
      <c r="T358" s="296">
        <v>184</v>
      </c>
      <c r="U358" s="296">
        <f t="shared" si="106"/>
        <v>865</v>
      </c>
      <c r="V358" s="296"/>
      <c r="W358" s="296"/>
      <c r="X358" s="296"/>
      <c r="Y358" s="296">
        <v>681</v>
      </c>
      <c r="Z358" s="296">
        <v>184</v>
      </c>
      <c r="AA358" s="296">
        <v>865</v>
      </c>
      <c r="AB358" s="296">
        <f t="shared" si="107"/>
        <v>-146</v>
      </c>
      <c r="AC358" s="296">
        <f t="shared" si="107"/>
        <v>-38</v>
      </c>
      <c r="AD358" s="296">
        <f t="shared" si="107"/>
        <v>-184</v>
      </c>
      <c r="AE358" s="296">
        <v>535</v>
      </c>
      <c r="AF358" s="296">
        <v>146</v>
      </c>
      <c r="AG358" s="296">
        <f t="shared" si="108"/>
        <v>681</v>
      </c>
      <c r="AH358" s="299"/>
      <c r="AI358" s="296"/>
      <c r="AJ358" s="499"/>
      <c r="AK358" s="296"/>
      <c r="AL358" s="296"/>
      <c r="AM358" s="296"/>
      <c r="AN358" s="296"/>
      <c r="AO358" s="296"/>
      <c r="AP358" s="296"/>
      <c r="AQ358" s="296"/>
      <c r="AR358" s="296"/>
      <c r="AS358" s="296"/>
      <c r="AT358" s="296"/>
      <c r="AU358" s="296"/>
      <c r="AV358" s="296"/>
      <c r="AW358" s="296"/>
      <c r="AX358" s="296"/>
      <c r="AY358" s="296"/>
      <c r="AZ358" s="296"/>
      <c r="BA358" s="296"/>
      <c r="BB358" s="296"/>
      <c r="BC358" s="499"/>
      <c r="BD358" s="499"/>
      <c r="BE358" s="499"/>
      <c r="BF358" s="296"/>
      <c r="BG358" s="296"/>
      <c r="BH358" s="296"/>
      <c r="BI358" s="723"/>
      <c r="BJ358" s="723"/>
      <c r="BK358" s="723"/>
      <c r="BL358" s="723"/>
      <c r="BM358" s="723"/>
      <c r="BN358" s="723"/>
      <c r="BO358" s="723"/>
      <c r="BP358" s="511"/>
      <c r="BQ358" s="723"/>
      <c r="BR358" s="723"/>
      <c r="BS358" s="723"/>
      <c r="BT358" s="723"/>
      <c r="BU358" s="723"/>
      <c r="BV358" s="723"/>
      <c r="BW358" s="723"/>
      <c r="BX358" s="723"/>
      <c r="BY358" s="511"/>
      <c r="BZ358" s="723"/>
      <c r="CA358" s="723"/>
      <c r="CB358" s="516">
        <v>535940</v>
      </c>
      <c r="CC358" s="297">
        <v>681</v>
      </c>
      <c r="CD358" s="723"/>
    </row>
    <row r="359" spans="1:82" ht="22.5" x14ac:dyDescent="0.2">
      <c r="A359" s="703"/>
      <c r="B359" s="292" t="s">
        <v>1434</v>
      </c>
      <c r="C359" s="340" t="s">
        <v>1585</v>
      </c>
      <c r="D359" s="341"/>
      <c r="E359" s="704"/>
      <c r="F359" s="343" t="s">
        <v>1586</v>
      </c>
      <c r="G359" s="33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6"/>
      <c r="W359" s="296"/>
      <c r="X359" s="296"/>
      <c r="Y359" s="296"/>
      <c r="Z359" s="296"/>
      <c r="AA359" s="296"/>
      <c r="AB359" s="296">
        <f t="shared" si="107"/>
        <v>410</v>
      </c>
      <c r="AC359" s="296">
        <f t="shared" si="107"/>
        <v>111</v>
      </c>
      <c r="AD359" s="296">
        <f t="shared" si="107"/>
        <v>521</v>
      </c>
      <c r="AE359" s="296">
        <v>410</v>
      </c>
      <c r="AF359" s="296">
        <v>111</v>
      </c>
      <c r="AG359" s="296">
        <f>SUM(AE359:AF359)</f>
        <v>521</v>
      </c>
      <c r="AH359" s="299"/>
      <c r="AI359" s="296"/>
      <c r="AJ359" s="499"/>
      <c r="AK359" s="296"/>
      <c r="AL359" s="296"/>
      <c r="AM359" s="296"/>
      <c r="AN359" s="296"/>
      <c r="AO359" s="296"/>
      <c r="AP359" s="296"/>
      <c r="AQ359" s="296"/>
      <c r="AR359" s="296"/>
      <c r="AS359" s="296"/>
      <c r="AT359" s="296"/>
      <c r="AU359" s="296"/>
      <c r="AV359" s="296"/>
      <c r="AW359" s="296"/>
      <c r="AX359" s="296"/>
      <c r="AY359" s="296"/>
      <c r="AZ359" s="296"/>
      <c r="BA359" s="296"/>
      <c r="BB359" s="296"/>
      <c r="BC359" s="499"/>
      <c r="BD359" s="499"/>
      <c r="BE359" s="499"/>
      <c r="BF359" s="296"/>
      <c r="BG359" s="296"/>
      <c r="BH359" s="296"/>
      <c r="BI359" s="723"/>
      <c r="BJ359" s="723"/>
      <c r="BK359" s="723"/>
      <c r="BL359" s="723"/>
      <c r="BM359" s="723"/>
      <c r="BN359" s="723"/>
      <c r="BO359" s="723"/>
      <c r="BP359" s="511"/>
      <c r="BQ359" s="723"/>
      <c r="BR359" s="723"/>
      <c r="BS359" s="723"/>
      <c r="BT359" s="723"/>
      <c r="BU359" s="723"/>
      <c r="BV359" s="723"/>
      <c r="BW359" s="723"/>
      <c r="BX359" s="723"/>
      <c r="BY359" s="511"/>
      <c r="BZ359" s="723"/>
      <c r="CA359" s="723"/>
      <c r="CB359" s="516">
        <v>410530</v>
      </c>
      <c r="CC359" s="297">
        <v>521</v>
      </c>
      <c r="CD359" s="723"/>
    </row>
    <row r="360" spans="1:82" ht="22.5" x14ac:dyDescent="0.2">
      <c r="A360" s="703"/>
      <c r="B360" s="342" t="s">
        <v>1438</v>
      </c>
      <c r="C360" s="329" t="s">
        <v>967</v>
      </c>
      <c r="D360" s="341"/>
      <c r="E360" s="702" t="s">
        <v>968</v>
      </c>
      <c r="F360" s="294" t="s">
        <v>1240</v>
      </c>
      <c r="G360" s="336"/>
      <c r="H360" s="296"/>
      <c r="I360" s="296"/>
      <c r="J360" s="296">
        <f t="shared" ref="J360:L365" si="109">M360-G360</f>
        <v>640</v>
      </c>
      <c r="K360" s="296">
        <f>N360-H360</f>
        <v>173</v>
      </c>
      <c r="L360" s="296">
        <f>O360-I360</f>
        <v>813</v>
      </c>
      <c r="M360" s="296">
        <v>640</v>
      </c>
      <c r="N360" s="296">
        <v>173</v>
      </c>
      <c r="O360" s="296">
        <f>SUM(M360:N360)</f>
        <v>813</v>
      </c>
      <c r="P360" s="296">
        <f t="shared" si="104"/>
        <v>0</v>
      </c>
      <c r="Q360" s="296">
        <v>173</v>
      </c>
      <c r="R360" s="296">
        <f t="shared" si="105"/>
        <v>-1</v>
      </c>
      <c r="S360" s="296">
        <v>640</v>
      </c>
      <c r="T360" s="296">
        <v>172</v>
      </c>
      <c r="U360" s="296">
        <f t="shared" si="106"/>
        <v>812</v>
      </c>
      <c r="V360" s="296"/>
      <c r="W360" s="296"/>
      <c r="X360" s="296"/>
      <c r="Y360" s="296">
        <v>640</v>
      </c>
      <c r="Z360" s="296">
        <v>172</v>
      </c>
      <c r="AA360" s="296">
        <v>812</v>
      </c>
      <c r="AB360" s="296">
        <f t="shared" si="107"/>
        <v>0</v>
      </c>
      <c r="AC360" s="296">
        <f t="shared" si="107"/>
        <v>0</v>
      </c>
      <c r="AD360" s="296">
        <f t="shared" si="107"/>
        <v>0</v>
      </c>
      <c r="AE360" s="296">
        <v>640</v>
      </c>
      <c r="AF360" s="296">
        <v>172</v>
      </c>
      <c r="AG360" s="296">
        <f>SUM(AE360:AF360)</f>
        <v>812</v>
      </c>
      <c r="AH360" s="299"/>
      <c r="AI360" s="296"/>
      <c r="AJ360" s="499"/>
      <c r="AK360" s="296"/>
      <c r="AL360" s="296"/>
      <c r="AM360" s="296"/>
      <c r="AN360" s="296"/>
      <c r="AO360" s="296"/>
      <c r="AP360" s="296"/>
      <c r="AQ360" s="296"/>
      <c r="AR360" s="296"/>
      <c r="AS360" s="296"/>
      <c r="AT360" s="296"/>
      <c r="AU360" s="296"/>
      <c r="AV360" s="296"/>
      <c r="AW360" s="296"/>
      <c r="AX360" s="296"/>
      <c r="AY360" s="296"/>
      <c r="AZ360" s="296"/>
      <c r="BA360" s="296"/>
      <c r="BB360" s="296"/>
      <c r="BC360" s="499"/>
      <c r="BD360" s="499"/>
      <c r="BE360" s="499"/>
      <c r="BF360" s="296"/>
      <c r="BG360" s="296"/>
      <c r="BH360" s="296"/>
      <c r="BI360" s="723"/>
      <c r="BJ360" s="723"/>
      <c r="BK360" s="723"/>
      <c r="BL360" s="723"/>
      <c r="BM360" s="723"/>
      <c r="BN360" s="723"/>
      <c r="BO360" s="723"/>
      <c r="BP360" s="511"/>
      <c r="BQ360" s="723"/>
      <c r="BR360" s="723"/>
      <c r="BS360" s="723"/>
      <c r="BT360" s="723"/>
      <c r="BU360" s="723"/>
      <c r="BV360" s="723"/>
      <c r="BW360" s="723"/>
      <c r="BX360" s="723"/>
      <c r="BY360" s="511"/>
      <c r="BZ360" s="723"/>
      <c r="CA360" s="723"/>
      <c r="CB360" s="516">
        <v>639720</v>
      </c>
      <c r="CC360" s="297">
        <v>812</v>
      </c>
      <c r="CD360" s="723"/>
    </row>
    <row r="361" spans="1:82" ht="22.5" x14ac:dyDescent="0.2">
      <c r="A361" s="703"/>
      <c r="B361" s="342" t="s">
        <v>1438</v>
      </c>
      <c r="C361" s="329" t="s">
        <v>969</v>
      </c>
      <c r="D361" s="341"/>
      <c r="E361" s="703"/>
      <c r="F361" s="294" t="s">
        <v>970</v>
      </c>
      <c r="G361" s="336"/>
      <c r="H361" s="296"/>
      <c r="I361" s="296"/>
      <c r="J361" s="296">
        <f t="shared" si="109"/>
        <v>3490</v>
      </c>
      <c r="K361" s="296">
        <f>N361-H361</f>
        <v>942</v>
      </c>
      <c r="L361" s="296">
        <f>O361-I361</f>
        <v>4432</v>
      </c>
      <c r="M361" s="296">
        <v>3490</v>
      </c>
      <c r="N361" s="296">
        <v>942</v>
      </c>
      <c r="O361" s="296">
        <f>SUM(M361:N361)</f>
        <v>4432</v>
      </c>
      <c r="P361" s="296">
        <f t="shared" si="104"/>
        <v>0</v>
      </c>
      <c r="Q361" s="296">
        <f>T361-N361</f>
        <v>0</v>
      </c>
      <c r="R361" s="296">
        <f t="shared" si="105"/>
        <v>0</v>
      </c>
      <c r="S361" s="296">
        <v>3490</v>
      </c>
      <c r="T361" s="296">
        <v>942</v>
      </c>
      <c r="U361" s="296">
        <f t="shared" si="106"/>
        <v>4432</v>
      </c>
      <c r="V361" s="296"/>
      <c r="W361" s="296"/>
      <c r="X361" s="296"/>
      <c r="Y361" s="296">
        <v>3490</v>
      </c>
      <c r="Z361" s="296">
        <v>942</v>
      </c>
      <c r="AA361" s="296">
        <v>4432</v>
      </c>
      <c r="AB361" s="296">
        <f t="shared" si="107"/>
        <v>0</v>
      </c>
      <c r="AC361" s="296">
        <f t="shared" si="107"/>
        <v>0</v>
      </c>
      <c r="AD361" s="296">
        <f t="shared" si="107"/>
        <v>0</v>
      </c>
      <c r="AE361" s="296">
        <v>3490</v>
      </c>
      <c r="AF361" s="296">
        <v>942</v>
      </c>
      <c r="AG361" s="296">
        <f>SUM(AE361:AF361)</f>
        <v>4432</v>
      </c>
      <c r="AH361" s="299"/>
      <c r="AI361" s="296"/>
      <c r="AJ361" s="499"/>
      <c r="AK361" s="296"/>
      <c r="AL361" s="296"/>
      <c r="AM361" s="296"/>
      <c r="AN361" s="296"/>
      <c r="AO361" s="296"/>
      <c r="AP361" s="296"/>
      <c r="AQ361" s="296"/>
      <c r="AR361" s="296"/>
      <c r="AS361" s="296"/>
      <c r="AT361" s="296"/>
      <c r="AU361" s="296"/>
      <c r="AV361" s="296"/>
      <c r="AW361" s="296"/>
      <c r="AX361" s="296"/>
      <c r="AY361" s="296"/>
      <c r="AZ361" s="296"/>
      <c r="BA361" s="296"/>
      <c r="BB361" s="296"/>
      <c r="BC361" s="499"/>
      <c r="BD361" s="499"/>
      <c r="BE361" s="499"/>
      <c r="BF361" s="296"/>
      <c r="BG361" s="296"/>
      <c r="BH361" s="296"/>
      <c r="BI361" s="723"/>
      <c r="BJ361" s="723"/>
      <c r="BK361" s="723"/>
      <c r="BL361" s="723"/>
      <c r="BM361" s="723"/>
      <c r="BN361" s="723"/>
      <c r="BO361" s="723"/>
      <c r="BP361" s="511"/>
      <c r="BQ361" s="723"/>
      <c r="BR361" s="723"/>
      <c r="BS361" s="723"/>
      <c r="BT361" s="723"/>
      <c r="BU361" s="723"/>
      <c r="BV361" s="723"/>
      <c r="BW361" s="723"/>
      <c r="BX361" s="723"/>
      <c r="BY361" s="511"/>
      <c r="BZ361" s="723"/>
      <c r="CA361" s="723"/>
      <c r="CB361" s="516">
        <v>3489600</v>
      </c>
      <c r="CC361" s="297">
        <v>4432</v>
      </c>
      <c r="CD361" s="723"/>
    </row>
    <row r="362" spans="1:82" ht="45" x14ac:dyDescent="0.2">
      <c r="A362" s="704"/>
      <c r="B362" s="292" t="s">
        <v>1381</v>
      </c>
      <c r="C362" s="329" t="s">
        <v>1587</v>
      </c>
      <c r="D362" s="314"/>
      <c r="E362" s="512" t="s">
        <v>971</v>
      </c>
      <c r="F362" s="294" t="s">
        <v>1588</v>
      </c>
      <c r="G362" s="344">
        <v>809</v>
      </c>
      <c r="H362" s="344">
        <v>218</v>
      </c>
      <c r="I362" s="296">
        <f>SUM(G362:H362)</f>
        <v>1027</v>
      </c>
      <c r="J362" s="296">
        <f t="shared" si="109"/>
        <v>0</v>
      </c>
      <c r="K362" s="296">
        <f t="shared" si="109"/>
        <v>0</v>
      </c>
      <c r="L362" s="296">
        <f t="shared" si="109"/>
        <v>0</v>
      </c>
      <c r="M362" s="296">
        <v>809</v>
      </c>
      <c r="N362" s="296">
        <v>218</v>
      </c>
      <c r="O362" s="296">
        <f>SUM(M362:N362)</f>
        <v>1027</v>
      </c>
      <c r="P362" s="296">
        <f t="shared" si="104"/>
        <v>0</v>
      </c>
      <c r="Q362" s="296">
        <f t="shared" si="104"/>
        <v>0</v>
      </c>
      <c r="R362" s="296">
        <f t="shared" si="105"/>
        <v>0</v>
      </c>
      <c r="S362" s="296">
        <v>809</v>
      </c>
      <c r="T362" s="296">
        <v>218</v>
      </c>
      <c r="U362" s="296">
        <f>SUM(S362:T362)</f>
        <v>1027</v>
      </c>
      <c r="V362" s="296"/>
      <c r="W362" s="296"/>
      <c r="X362" s="296"/>
      <c r="Y362" s="296">
        <v>809</v>
      </c>
      <c r="Z362" s="296">
        <v>218</v>
      </c>
      <c r="AA362" s="296">
        <v>1027</v>
      </c>
      <c r="AB362" s="296">
        <f t="shared" si="107"/>
        <v>-179</v>
      </c>
      <c r="AC362" s="296">
        <f t="shared" si="107"/>
        <v>-48</v>
      </c>
      <c r="AD362" s="296">
        <f t="shared" si="107"/>
        <v>-227</v>
      </c>
      <c r="AE362" s="296">
        <v>630</v>
      </c>
      <c r="AF362" s="296">
        <v>170</v>
      </c>
      <c r="AG362" s="296">
        <f>SUM(AE362:AF362)</f>
        <v>800</v>
      </c>
      <c r="AH362" s="299"/>
      <c r="AI362" s="296"/>
      <c r="AJ362" s="296"/>
      <c r="AK362" s="296"/>
      <c r="AL362" s="296"/>
      <c r="AM362" s="296"/>
      <c r="AN362" s="296"/>
      <c r="AO362" s="296"/>
      <c r="AP362" s="296"/>
      <c r="AQ362" s="296"/>
      <c r="AR362" s="296"/>
      <c r="AS362" s="296"/>
      <c r="AT362" s="296"/>
      <c r="AU362" s="296"/>
      <c r="AV362" s="296"/>
      <c r="AW362" s="296"/>
      <c r="AX362" s="296"/>
      <c r="AY362" s="296"/>
      <c r="AZ362" s="296"/>
      <c r="BA362" s="296"/>
      <c r="BB362" s="296"/>
      <c r="BC362" s="499"/>
      <c r="BD362" s="499"/>
      <c r="BE362" s="499"/>
      <c r="BF362" s="296"/>
      <c r="BG362" s="296"/>
      <c r="BH362" s="296"/>
      <c r="BI362" s="724"/>
      <c r="BJ362" s="724"/>
      <c r="BK362" s="724"/>
      <c r="BL362" s="724"/>
      <c r="BM362" s="724"/>
      <c r="BN362" s="724"/>
      <c r="BO362" s="724"/>
      <c r="BP362" s="516"/>
      <c r="BQ362" s="724"/>
      <c r="BR362" s="724"/>
      <c r="BS362" s="724"/>
      <c r="BT362" s="724"/>
      <c r="BU362" s="724"/>
      <c r="BV362" s="724"/>
      <c r="BW362" s="724"/>
      <c r="BX362" s="724"/>
      <c r="BY362" s="516"/>
      <c r="BZ362" s="724"/>
      <c r="CA362" s="724"/>
      <c r="CB362" s="516">
        <v>630000</v>
      </c>
      <c r="CC362" s="297">
        <v>800</v>
      </c>
      <c r="CD362" s="724"/>
    </row>
    <row r="363" spans="1:82" ht="51.75" customHeight="1" x14ac:dyDescent="0.2">
      <c r="A363" s="702" t="s">
        <v>423</v>
      </c>
      <c r="B363" s="292" t="s">
        <v>1381</v>
      </c>
      <c r="C363" s="329" t="s">
        <v>972</v>
      </c>
      <c r="D363" s="314"/>
      <c r="E363" s="345" t="s">
        <v>973</v>
      </c>
      <c r="F363" s="294" t="s">
        <v>974</v>
      </c>
      <c r="G363" s="296">
        <v>193</v>
      </c>
      <c r="H363" s="296">
        <v>52</v>
      </c>
      <c r="I363" s="296">
        <v>245</v>
      </c>
      <c r="J363" s="296">
        <f t="shared" si="109"/>
        <v>0</v>
      </c>
      <c r="K363" s="296">
        <f t="shared" si="109"/>
        <v>0</v>
      </c>
      <c r="L363" s="296">
        <f t="shared" si="109"/>
        <v>0</v>
      </c>
      <c r="M363" s="296">
        <v>193</v>
      </c>
      <c r="N363" s="296">
        <v>52</v>
      </c>
      <c r="O363" s="296">
        <v>245</v>
      </c>
      <c r="P363" s="296">
        <f t="shared" si="104"/>
        <v>0</v>
      </c>
      <c r="Q363" s="296">
        <f t="shared" si="104"/>
        <v>0</v>
      </c>
      <c r="R363" s="296">
        <f t="shared" si="105"/>
        <v>0</v>
      </c>
      <c r="S363" s="296">
        <v>193</v>
      </c>
      <c r="T363" s="296">
        <v>52</v>
      </c>
      <c r="U363" s="296">
        <v>245</v>
      </c>
      <c r="V363" s="296"/>
      <c r="W363" s="296"/>
      <c r="X363" s="296"/>
      <c r="Y363" s="296">
        <v>193</v>
      </c>
      <c r="Z363" s="296">
        <v>52</v>
      </c>
      <c r="AA363" s="296">
        <v>245</v>
      </c>
      <c r="AB363" s="296">
        <f t="shared" si="107"/>
        <v>0</v>
      </c>
      <c r="AC363" s="296">
        <f t="shared" si="107"/>
        <v>0</v>
      </c>
      <c r="AD363" s="296">
        <f t="shared" si="107"/>
        <v>0</v>
      </c>
      <c r="AE363" s="296">
        <v>193</v>
      </c>
      <c r="AF363" s="296">
        <v>52</v>
      </c>
      <c r="AG363" s="296">
        <v>245</v>
      </c>
      <c r="AH363" s="299"/>
      <c r="AI363" s="296"/>
      <c r="AJ363" s="296"/>
      <c r="AK363" s="296"/>
      <c r="AL363" s="296"/>
      <c r="AM363" s="296"/>
      <c r="AN363" s="296"/>
      <c r="AO363" s="296"/>
      <c r="AP363" s="296"/>
      <c r="AQ363" s="296"/>
      <c r="AR363" s="296"/>
      <c r="AS363" s="296"/>
      <c r="AT363" s="296"/>
      <c r="AU363" s="296"/>
      <c r="AV363" s="296"/>
      <c r="AW363" s="296"/>
      <c r="AX363" s="296"/>
      <c r="AY363" s="296"/>
      <c r="AZ363" s="296"/>
      <c r="BA363" s="296"/>
      <c r="BB363" s="296"/>
      <c r="BC363" s="499"/>
      <c r="BD363" s="499"/>
      <c r="BE363" s="499"/>
      <c r="BF363" s="296"/>
      <c r="BG363" s="296"/>
      <c r="BH363" s="296"/>
      <c r="BI363" s="722">
        <f>SUM(I363:I376)</f>
        <v>250245</v>
      </c>
      <c r="BJ363" s="722">
        <f>SUM(L363:L376)</f>
        <v>-65177</v>
      </c>
      <c r="BK363" s="722">
        <f>SUM(O363:O376)</f>
        <v>185068</v>
      </c>
      <c r="BL363" s="722">
        <f>SUM(R363:R376)</f>
        <v>610</v>
      </c>
      <c r="BM363" s="722">
        <f>SUM(U363:U376)</f>
        <v>185678</v>
      </c>
      <c r="BN363" s="722">
        <f>SUM(AD363:AD376)</f>
        <v>-38367</v>
      </c>
      <c r="BO363" s="723">
        <f>SUM(AA363:AA376)</f>
        <v>185678</v>
      </c>
      <c r="BP363" s="722"/>
      <c r="BQ363" s="722">
        <f>SUM(AG363:AG376)</f>
        <v>147311</v>
      </c>
      <c r="BR363" s="722">
        <f>SUM(AJ363:AJ376)</f>
        <v>0</v>
      </c>
      <c r="BS363" s="722">
        <f>SUM(AM363:AM376)</f>
        <v>0</v>
      </c>
      <c r="BT363" s="722">
        <f>SUM(AP363:AP376)</f>
        <v>0</v>
      </c>
      <c r="BU363" s="722">
        <f>SUM(AS363:AS376)</f>
        <v>0</v>
      </c>
      <c r="BV363" s="722">
        <f>SUM(AV363:AV376)</f>
        <v>0</v>
      </c>
      <c r="BW363" s="722">
        <f>SUM(BE363:BE376)</f>
        <v>0</v>
      </c>
      <c r="BX363" s="723">
        <f>SUM(BB363:BB376)</f>
        <v>0</v>
      </c>
      <c r="BY363" s="722"/>
      <c r="BZ363" s="722">
        <f>SUM(BH363:BH376)</f>
        <v>0</v>
      </c>
      <c r="CA363" s="722">
        <f>SUM(BQ363,BZ363)</f>
        <v>147311</v>
      </c>
      <c r="CB363" s="516">
        <v>193000</v>
      </c>
      <c r="CC363" s="297">
        <v>245</v>
      </c>
      <c r="CD363" s="722">
        <f>SUM(CC363:CC376)</f>
        <v>147311</v>
      </c>
    </row>
    <row r="364" spans="1:82" x14ac:dyDescent="0.2">
      <c r="A364" s="703"/>
      <c r="B364" s="292"/>
      <c r="C364" s="293" t="s">
        <v>1143</v>
      </c>
      <c r="D364" s="314"/>
      <c r="E364" s="702" t="s">
        <v>975</v>
      </c>
      <c r="F364" s="294" t="s">
        <v>976</v>
      </c>
      <c r="G364" s="295">
        <v>157480</v>
      </c>
      <c r="H364" s="296">
        <v>42520</v>
      </c>
      <c r="I364" s="296">
        <v>200000</v>
      </c>
      <c r="J364" s="296">
        <f t="shared" si="109"/>
        <v>-120000</v>
      </c>
      <c r="K364" s="296">
        <f t="shared" si="109"/>
        <v>0</v>
      </c>
      <c r="L364" s="296">
        <f t="shared" si="109"/>
        <v>-120000</v>
      </c>
      <c r="M364" s="296">
        <f>G364-SUM(J365)</f>
        <v>37480</v>
      </c>
      <c r="N364" s="296">
        <f>H364-SUM(K365)</f>
        <v>42520</v>
      </c>
      <c r="O364" s="296">
        <f>I364-SUM(L365)</f>
        <v>80000</v>
      </c>
      <c r="P364" s="296">
        <f>S364-M365</f>
        <v>-82520</v>
      </c>
      <c r="Q364" s="296">
        <f t="shared" si="104"/>
        <v>0</v>
      </c>
      <c r="R364" s="296">
        <f t="shared" si="105"/>
        <v>0</v>
      </c>
      <c r="S364" s="296">
        <f>M364-SUM(P365)</f>
        <v>37480</v>
      </c>
      <c r="T364" s="296">
        <f>N364-SUM(Q365)</f>
        <v>42520</v>
      </c>
      <c r="U364" s="296">
        <f>O364-SUM(R365)</f>
        <v>80000</v>
      </c>
      <c r="V364" s="296"/>
      <c r="W364" s="296"/>
      <c r="X364" s="296"/>
      <c r="Y364" s="296">
        <v>37480</v>
      </c>
      <c r="Z364" s="296">
        <v>42520</v>
      </c>
      <c r="AA364" s="296">
        <v>80000</v>
      </c>
      <c r="AB364" s="296">
        <f t="shared" si="107"/>
        <v>0</v>
      </c>
      <c r="AC364" s="296">
        <f t="shared" si="107"/>
        <v>0</v>
      </c>
      <c r="AD364" s="296">
        <f t="shared" si="107"/>
        <v>0</v>
      </c>
      <c r="AE364" s="296">
        <v>37480</v>
      </c>
      <c r="AF364" s="296">
        <v>42520</v>
      </c>
      <c r="AG364" s="296">
        <v>80000</v>
      </c>
      <c r="AH364" s="299"/>
      <c r="AI364" s="296"/>
      <c r="AJ364" s="296"/>
      <c r="AK364" s="296"/>
      <c r="AL364" s="296"/>
      <c r="AM364" s="296"/>
      <c r="AN364" s="296"/>
      <c r="AO364" s="296"/>
      <c r="AP364" s="296"/>
      <c r="AQ364" s="296"/>
      <c r="AR364" s="296"/>
      <c r="AS364" s="296"/>
      <c r="AT364" s="296"/>
      <c r="AU364" s="296"/>
      <c r="AV364" s="296"/>
      <c r="AW364" s="296"/>
      <c r="AX364" s="296"/>
      <c r="AY364" s="296"/>
      <c r="AZ364" s="296"/>
      <c r="BA364" s="296"/>
      <c r="BB364" s="296"/>
      <c r="BC364" s="499"/>
      <c r="BD364" s="499"/>
      <c r="BE364" s="499"/>
      <c r="BF364" s="296"/>
      <c r="BG364" s="296"/>
      <c r="BH364" s="296"/>
      <c r="BI364" s="723"/>
      <c r="BJ364" s="723"/>
      <c r="BK364" s="723"/>
      <c r="BL364" s="723"/>
      <c r="BM364" s="723"/>
      <c r="BN364" s="723"/>
      <c r="BO364" s="723"/>
      <c r="BP364" s="723"/>
      <c r="BQ364" s="723"/>
      <c r="BR364" s="723"/>
      <c r="BS364" s="723"/>
      <c r="BT364" s="723"/>
      <c r="BU364" s="723"/>
      <c r="BV364" s="723"/>
      <c r="BW364" s="723"/>
      <c r="BX364" s="723"/>
      <c r="BY364" s="723"/>
      <c r="BZ364" s="723"/>
      <c r="CA364" s="723"/>
      <c r="CB364" s="516">
        <v>0</v>
      </c>
      <c r="CC364" s="297">
        <v>0</v>
      </c>
      <c r="CD364" s="723"/>
    </row>
    <row r="365" spans="1:82" ht="22.5" x14ac:dyDescent="0.2">
      <c r="A365" s="703"/>
      <c r="B365" s="292" t="s">
        <v>1429</v>
      </c>
      <c r="C365" s="329" t="s">
        <v>977</v>
      </c>
      <c r="D365" s="314"/>
      <c r="E365" s="703"/>
      <c r="F365" s="294" t="s">
        <v>978</v>
      </c>
      <c r="G365" s="295"/>
      <c r="H365" s="296"/>
      <c r="I365" s="296"/>
      <c r="J365" s="296">
        <f t="shared" si="109"/>
        <v>120000</v>
      </c>
      <c r="K365" s="296">
        <f t="shared" si="109"/>
        <v>0</v>
      </c>
      <c r="L365" s="296">
        <f t="shared" si="109"/>
        <v>120000</v>
      </c>
      <c r="M365" s="296">
        <v>120000</v>
      </c>
      <c r="N365" s="296">
        <v>0</v>
      </c>
      <c r="O365" s="296">
        <f>SUM(M365:N365)</f>
        <v>120000</v>
      </c>
      <c r="P365" s="296">
        <f t="shared" si="104"/>
        <v>0</v>
      </c>
      <c r="Q365" s="296">
        <f t="shared" si="104"/>
        <v>0</v>
      </c>
      <c r="R365" s="296">
        <f t="shared" si="105"/>
        <v>0</v>
      </c>
      <c r="S365" s="296">
        <v>120000</v>
      </c>
      <c r="T365" s="296">
        <v>0</v>
      </c>
      <c r="U365" s="296">
        <f>SUM(S365:T365)</f>
        <v>120000</v>
      </c>
      <c r="V365" s="296"/>
      <c r="W365" s="296"/>
      <c r="X365" s="296"/>
      <c r="Y365" s="296">
        <v>120000</v>
      </c>
      <c r="Z365" s="296">
        <v>0</v>
      </c>
      <c r="AA365" s="296">
        <v>120000</v>
      </c>
      <c r="AB365" s="296">
        <f t="shared" si="107"/>
        <v>0</v>
      </c>
      <c r="AC365" s="296">
        <f t="shared" si="107"/>
        <v>0</v>
      </c>
      <c r="AD365" s="296">
        <f t="shared" si="107"/>
        <v>0</v>
      </c>
      <c r="AE365" s="296">
        <v>120000</v>
      </c>
      <c r="AF365" s="296">
        <v>0</v>
      </c>
      <c r="AG365" s="296">
        <v>120000</v>
      </c>
      <c r="AH365" s="299"/>
      <c r="AI365" s="296"/>
      <c r="AJ365" s="296"/>
      <c r="AK365" s="296"/>
      <c r="AL365" s="296"/>
      <c r="AM365" s="296"/>
      <c r="AN365" s="296"/>
      <c r="AO365" s="296"/>
      <c r="AP365" s="296"/>
      <c r="AQ365" s="296"/>
      <c r="AR365" s="296"/>
      <c r="AS365" s="296"/>
      <c r="AT365" s="296"/>
      <c r="AU365" s="296"/>
      <c r="AV365" s="296"/>
      <c r="AW365" s="296"/>
      <c r="AX365" s="296"/>
      <c r="AY365" s="296"/>
      <c r="AZ365" s="296"/>
      <c r="BA365" s="296"/>
      <c r="BB365" s="296"/>
      <c r="BC365" s="499"/>
      <c r="BD365" s="499"/>
      <c r="BE365" s="499"/>
      <c r="BF365" s="296"/>
      <c r="BG365" s="296"/>
      <c r="BH365" s="296"/>
      <c r="BI365" s="723"/>
      <c r="BJ365" s="723"/>
      <c r="BK365" s="723"/>
      <c r="BL365" s="723"/>
      <c r="BM365" s="723"/>
      <c r="BN365" s="723"/>
      <c r="BO365" s="723"/>
      <c r="BP365" s="723"/>
      <c r="BQ365" s="723"/>
      <c r="BR365" s="723"/>
      <c r="BS365" s="723"/>
      <c r="BT365" s="723"/>
      <c r="BU365" s="723"/>
      <c r="BV365" s="723"/>
      <c r="BW365" s="723"/>
      <c r="BX365" s="723"/>
      <c r="BY365" s="723"/>
      <c r="BZ365" s="723"/>
      <c r="CA365" s="723"/>
      <c r="CB365" s="516">
        <v>120000000</v>
      </c>
      <c r="CC365" s="297">
        <v>120000</v>
      </c>
      <c r="CD365" s="723"/>
    </row>
    <row r="366" spans="1:82" x14ac:dyDescent="0.2">
      <c r="A366" s="703"/>
      <c r="B366" s="292"/>
      <c r="C366" s="329"/>
      <c r="D366" s="314"/>
      <c r="E366" s="704"/>
      <c r="F366" s="294" t="s">
        <v>913</v>
      </c>
      <c r="G366" s="295"/>
      <c r="H366" s="296"/>
      <c r="I366" s="296"/>
      <c r="J366" s="296">
        <v>-37480</v>
      </c>
      <c r="K366" s="296">
        <v>-42520</v>
      </c>
      <c r="L366" s="296">
        <f>SUM(J366:K366)</f>
        <v>-80000</v>
      </c>
      <c r="M366" s="296">
        <v>-37480</v>
      </c>
      <c r="N366" s="296">
        <v>-42520</v>
      </c>
      <c r="O366" s="296">
        <f>SUM(M366:N366)</f>
        <v>-80000</v>
      </c>
      <c r="P366" s="296">
        <v>0</v>
      </c>
      <c r="Q366" s="296">
        <v>0</v>
      </c>
      <c r="R366" s="296">
        <v>0</v>
      </c>
      <c r="S366" s="296">
        <v>-37480</v>
      </c>
      <c r="T366" s="296">
        <v>-42520</v>
      </c>
      <c r="U366" s="296">
        <f>SUM(S366:T366)</f>
        <v>-80000</v>
      </c>
      <c r="V366" s="296"/>
      <c r="W366" s="296"/>
      <c r="X366" s="296"/>
      <c r="Y366" s="296">
        <v>-37480</v>
      </c>
      <c r="Z366" s="296">
        <v>-42520</v>
      </c>
      <c r="AA366" s="296">
        <v>-80000</v>
      </c>
      <c r="AB366" s="296">
        <f t="shared" si="107"/>
        <v>0</v>
      </c>
      <c r="AC366" s="296">
        <f t="shared" si="107"/>
        <v>0</v>
      </c>
      <c r="AD366" s="296">
        <f t="shared" si="107"/>
        <v>0</v>
      </c>
      <c r="AE366" s="296">
        <v>-37480</v>
      </c>
      <c r="AF366" s="296">
        <v>-42520</v>
      </c>
      <c r="AG366" s="296">
        <v>-80000</v>
      </c>
      <c r="AH366" s="299"/>
      <c r="AI366" s="296"/>
      <c r="AJ366" s="296"/>
      <c r="AK366" s="296"/>
      <c r="AL366" s="296"/>
      <c r="AM366" s="296"/>
      <c r="AN366" s="296"/>
      <c r="AO366" s="296"/>
      <c r="AP366" s="296"/>
      <c r="AQ366" s="296"/>
      <c r="AR366" s="296"/>
      <c r="AS366" s="296"/>
      <c r="AT366" s="296"/>
      <c r="AU366" s="296"/>
      <c r="AV366" s="296"/>
      <c r="AW366" s="296"/>
      <c r="AX366" s="296"/>
      <c r="AY366" s="296"/>
      <c r="AZ366" s="296"/>
      <c r="BA366" s="296"/>
      <c r="BB366" s="296"/>
      <c r="BC366" s="499"/>
      <c r="BD366" s="499"/>
      <c r="BE366" s="499"/>
      <c r="BF366" s="296"/>
      <c r="BG366" s="296"/>
      <c r="BH366" s="296"/>
      <c r="BI366" s="723"/>
      <c r="BJ366" s="723"/>
      <c r="BK366" s="723"/>
      <c r="BL366" s="723"/>
      <c r="BM366" s="723"/>
      <c r="BN366" s="723"/>
      <c r="BO366" s="723"/>
      <c r="BP366" s="723"/>
      <c r="BQ366" s="723"/>
      <c r="BR366" s="723"/>
      <c r="BS366" s="723"/>
      <c r="BT366" s="723"/>
      <c r="BU366" s="723"/>
      <c r="BV366" s="723"/>
      <c r="BW366" s="723"/>
      <c r="BX366" s="723"/>
      <c r="BY366" s="723"/>
      <c r="BZ366" s="723"/>
      <c r="CA366" s="723"/>
      <c r="CB366" s="516">
        <v>0</v>
      </c>
      <c r="CC366" s="297">
        <v>0</v>
      </c>
      <c r="CD366" s="723"/>
    </row>
    <row r="367" spans="1:82" x14ac:dyDescent="0.2">
      <c r="A367" s="703"/>
      <c r="B367" s="292"/>
      <c r="C367" s="293" t="s">
        <v>1143</v>
      </c>
      <c r="D367" s="314"/>
      <c r="E367" s="702" t="s">
        <v>979</v>
      </c>
      <c r="F367" s="294" t="s">
        <v>980</v>
      </c>
      <c r="G367" s="296">
        <v>39370</v>
      </c>
      <c r="H367" s="296">
        <v>10630</v>
      </c>
      <c r="I367" s="296">
        <f>SUM(G367:H367)</f>
        <v>50000</v>
      </c>
      <c r="J367" s="296">
        <f t="shared" ref="J367:L368" si="110">M367-G367</f>
        <v>-560</v>
      </c>
      <c r="K367" s="296">
        <f t="shared" si="110"/>
        <v>-151</v>
      </c>
      <c r="L367" s="296">
        <f t="shared" si="110"/>
        <v>-711</v>
      </c>
      <c r="M367" s="296">
        <f>G367-SUM(J368)</f>
        <v>38810</v>
      </c>
      <c r="N367" s="296">
        <f>H367-SUM(K368)</f>
        <v>10479</v>
      </c>
      <c r="O367" s="296">
        <f>I367-SUM(L368)</f>
        <v>49289</v>
      </c>
      <c r="P367" s="296">
        <f t="shared" ref="P367:R368" si="111">S367-M367</f>
        <v>-805</v>
      </c>
      <c r="Q367" s="296">
        <f t="shared" si="111"/>
        <v>-217</v>
      </c>
      <c r="R367" s="296">
        <f t="shared" si="111"/>
        <v>-1022</v>
      </c>
      <c r="S367" s="296">
        <f>M367-SUM(P368,P370)</f>
        <v>38005</v>
      </c>
      <c r="T367" s="296">
        <f>N367-SUM(Q368,Q370)</f>
        <v>10262</v>
      </c>
      <c r="U367" s="296">
        <f>O367-SUM(R368,R370)</f>
        <v>48267</v>
      </c>
      <c r="V367" s="296"/>
      <c r="W367" s="296"/>
      <c r="X367" s="296"/>
      <c r="Y367" s="296">
        <v>38005</v>
      </c>
      <c r="Z367" s="296">
        <v>10262</v>
      </c>
      <c r="AA367" s="296">
        <v>48267</v>
      </c>
      <c r="AB367" s="296">
        <f t="shared" si="107"/>
        <v>-30131</v>
      </c>
      <c r="AC367" s="296">
        <f t="shared" si="107"/>
        <v>-8136</v>
      </c>
      <c r="AD367" s="296">
        <f t="shared" si="107"/>
        <v>-38267</v>
      </c>
      <c r="AE367" s="296">
        <v>7874</v>
      </c>
      <c r="AF367" s="296">
        <v>2126</v>
      </c>
      <c r="AG367" s="296">
        <v>10000</v>
      </c>
      <c r="AH367" s="299"/>
      <c r="AI367" s="296"/>
      <c r="AJ367" s="296"/>
      <c r="AK367" s="296"/>
      <c r="AL367" s="296"/>
      <c r="AM367" s="296"/>
      <c r="AN367" s="296"/>
      <c r="AO367" s="296"/>
      <c r="AP367" s="296"/>
      <c r="AQ367" s="296"/>
      <c r="AR367" s="296"/>
      <c r="AS367" s="296"/>
      <c r="AT367" s="296"/>
      <c r="AU367" s="296"/>
      <c r="AV367" s="296"/>
      <c r="AW367" s="296"/>
      <c r="AX367" s="296"/>
      <c r="AY367" s="296"/>
      <c r="AZ367" s="296"/>
      <c r="BA367" s="296"/>
      <c r="BB367" s="296"/>
      <c r="BC367" s="499"/>
      <c r="BD367" s="499"/>
      <c r="BE367" s="499"/>
      <c r="BF367" s="296"/>
      <c r="BG367" s="296"/>
      <c r="BH367" s="296"/>
      <c r="BI367" s="723"/>
      <c r="BJ367" s="723"/>
      <c r="BK367" s="723"/>
      <c r="BL367" s="723"/>
      <c r="BM367" s="723"/>
      <c r="BN367" s="723"/>
      <c r="BO367" s="723"/>
      <c r="BP367" s="724"/>
      <c r="BQ367" s="723"/>
      <c r="BR367" s="723"/>
      <c r="BS367" s="723"/>
      <c r="BT367" s="723"/>
      <c r="BU367" s="723"/>
      <c r="BV367" s="723"/>
      <c r="BW367" s="723"/>
      <c r="BX367" s="723"/>
      <c r="BY367" s="724"/>
      <c r="BZ367" s="723"/>
      <c r="CA367" s="723"/>
      <c r="CB367" s="516">
        <v>0</v>
      </c>
      <c r="CC367" s="297">
        <v>0</v>
      </c>
      <c r="CD367" s="723"/>
    </row>
    <row r="368" spans="1:82" x14ac:dyDescent="0.2">
      <c r="A368" s="703"/>
      <c r="B368" s="292" t="s">
        <v>1381</v>
      </c>
      <c r="C368" s="329" t="s">
        <v>1241</v>
      </c>
      <c r="D368" s="314"/>
      <c r="E368" s="703"/>
      <c r="F368" s="294" t="s">
        <v>981</v>
      </c>
      <c r="G368" s="296"/>
      <c r="H368" s="296"/>
      <c r="I368" s="296"/>
      <c r="J368" s="296">
        <f t="shared" si="110"/>
        <v>560</v>
      </c>
      <c r="K368" s="296">
        <f t="shared" si="110"/>
        <v>151</v>
      </c>
      <c r="L368" s="296">
        <f t="shared" si="110"/>
        <v>711</v>
      </c>
      <c r="M368" s="296">
        <v>560</v>
      </c>
      <c r="N368" s="296">
        <v>151</v>
      </c>
      <c r="O368" s="296">
        <f>SUM(M368:N368)</f>
        <v>711</v>
      </c>
      <c r="P368" s="296">
        <f t="shared" si="111"/>
        <v>0</v>
      </c>
      <c r="Q368" s="296">
        <f t="shared" si="111"/>
        <v>0</v>
      </c>
      <c r="R368" s="296">
        <f t="shared" si="111"/>
        <v>0</v>
      </c>
      <c r="S368" s="296">
        <v>560</v>
      </c>
      <c r="T368" s="296">
        <v>151</v>
      </c>
      <c r="U368" s="296">
        <f>SUM(S368:T368)</f>
        <v>711</v>
      </c>
      <c r="V368" s="296"/>
      <c r="W368" s="296"/>
      <c r="X368" s="296"/>
      <c r="Y368" s="296">
        <v>560</v>
      </c>
      <c r="Z368" s="296">
        <v>151</v>
      </c>
      <c r="AA368" s="296">
        <v>711</v>
      </c>
      <c r="AB368" s="296">
        <f t="shared" si="107"/>
        <v>-78</v>
      </c>
      <c r="AC368" s="296">
        <f t="shared" si="107"/>
        <v>-21</v>
      </c>
      <c r="AD368" s="296">
        <f t="shared" si="107"/>
        <v>-99</v>
      </c>
      <c r="AE368" s="296">
        <v>482</v>
      </c>
      <c r="AF368" s="296">
        <v>130</v>
      </c>
      <c r="AG368" s="296">
        <f>SUM(AE368:AF368)</f>
        <v>612</v>
      </c>
      <c r="AH368" s="299"/>
      <c r="AI368" s="296"/>
      <c r="AJ368" s="296"/>
      <c r="AK368" s="296"/>
      <c r="AL368" s="296"/>
      <c r="AM368" s="296"/>
      <c r="AN368" s="296"/>
      <c r="AO368" s="296"/>
      <c r="AP368" s="296"/>
      <c r="AQ368" s="296"/>
      <c r="AR368" s="296"/>
      <c r="AS368" s="296"/>
      <c r="AT368" s="296"/>
      <c r="AU368" s="296"/>
      <c r="AV368" s="296"/>
      <c r="AW368" s="296"/>
      <c r="AX368" s="296"/>
      <c r="AY368" s="296"/>
      <c r="AZ368" s="296"/>
      <c r="BA368" s="296"/>
      <c r="BB368" s="296"/>
      <c r="BC368" s="499"/>
      <c r="BD368" s="499"/>
      <c r="BE368" s="499"/>
      <c r="BF368" s="296"/>
      <c r="BG368" s="296"/>
      <c r="BH368" s="296"/>
      <c r="BI368" s="723"/>
      <c r="BJ368" s="723"/>
      <c r="BK368" s="723"/>
      <c r="BL368" s="723"/>
      <c r="BM368" s="723"/>
      <c r="BN368" s="723"/>
      <c r="BO368" s="723"/>
      <c r="BP368" s="722"/>
      <c r="BQ368" s="723"/>
      <c r="BR368" s="723"/>
      <c r="BS368" s="723"/>
      <c r="BT368" s="723"/>
      <c r="BU368" s="723"/>
      <c r="BV368" s="723"/>
      <c r="BW368" s="723"/>
      <c r="BX368" s="723"/>
      <c r="BY368" s="722"/>
      <c r="BZ368" s="723"/>
      <c r="CA368" s="723"/>
      <c r="CB368" s="516">
        <v>482000</v>
      </c>
      <c r="CC368" s="297">
        <v>612</v>
      </c>
      <c r="CD368" s="723"/>
    </row>
    <row r="369" spans="1:82" x14ac:dyDescent="0.2">
      <c r="A369" s="703"/>
      <c r="B369" s="292"/>
      <c r="C369" s="329" t="s">
        <v>1242</v>
      </c>
      <c r="D369" s="314"/>
      <c r="E369" s="703"/>
      <c r="F369" s="294" t="s">
        <v>913</v>
      </c>
      <c r="G369" s="296"/>
      <c r="H369" s="296"/>
      <c r="I369" s="296"/>
      <c r="J369" s="296">
        <v>-7874</v>
      </c>
      <c r="K369" s="296">
        <v>-2126</v>
      </c>
      <c r="L369" s="296">
        <f>SUM(J369:K369)</f>
        <v>-10000</v>
      </c>
      <c r="M369" s="296">
        <v>-7874</v>
      </c>
      <c r="N369" s="296">
        <v>-2126</v>
      </c>
      <c r="O369" s="296">
        <f>SUM(M369:N369)</f>
        <v>-10000</v>
      </c>
      <c r="P369" s="296">
        <v>0</v>
      </c>
      <c r="Q369" s="296">
        <v>0</v>
      </c>
      <c r="R369" s="296">
        <v>0</v>
      </c>
      <c r="S369" s="296">
        <v>-7874</v>
      </c>
      <c r="T369" s="296">
        <v>-2126</v>
      </c>
      <c r="U369" s="296">
        <f>SUM(S369:T369)</f>
        <v>-10000</v>
      </c>
      <c r="V369" s="296"/>
      <c r="W369" s="296"/>
      <c r="X369" s="296"/>
      <c r="Y369" s="296">
        <v>-7874</v>
      </c>
      <c r="Z369" s="296">
        <v>-2126</v>
      </c>
      <c r="AA369" s="296">
        <v>-10000</v>
      </c>
      <c r="AB369" s="296">
        <f t="shared" si="107"/>
        <v>0</v>
      </c>
      <c r="AC369" s="296">
        <f t="shared" si="107"/>
        <v>0</v>
      </c>
      <c r="AD369" s="296">
        <f t="shared" si="107"/>
        <v>0</v>
      </c>
      <c r="AE369" s="296">
        <v>-7874</v>
      </c>
      <c r="AF369" s="296">
        <v>-2126</v>
      </c>
      <c r="AG369" s="296">
        <v>-10000</v>
      </c>
      <c r="AH369" s="299"/>
      <c r="AI369" s="296"/>
      <c r="AJ369" s="296"/>
      <c r="AK369" s="296"/>
      <c r="AL369" s="296"/>
      <c r="AM369" s="296"/>
      <c r="AN369" s="296"/>
      <c r="AO369" s="296"/>
      <c r="AP369" s="296"/>
      <c r="AQ369" s="296"/>
      <c r="AR369" s="296"/>
      <c r="AS369" s="296"/>
      <c r="AT369" s="296"/>
      <c r="AU369" s="296"/>
      <c r="AV369" s="296"/>
      <c r="AW369" s="296"/>
      <c r="AX369" s="296"/>
      <c r="AY369" s="296"/>
      <c r="AZ369" s="296"/>
      <c r="BA369" s="296"/>
      <c r="BB369" s="296"/>
      <c r="BC369" s="499"/>
      <c r="BD369" s="499"/>
      <c r="BE369" s="499"/>
      <c r="BF369" s="296"/>
      <c r="BG369" s="296"/>
      <c r="BH369" s="296"/>
      <c r="BI369" s="723"/>
      <c r="BJ369" s="723"/>
      <c r="BK369" s="723"/>
      <c r="BL369" s="723"/>
      <c r="BM369" s="723"/>
      <c r="BN369" s="723"/>
      <c r="BO369" s="723"/>
      <c r="BP369" s="723"/>
      <c r="BQ369" s="723"/>
      <c r="BR369" s="723"/>
      <c r="BS369" s="723"/>
      <c r="BT369" s="723"/>
      <c r="BU369" s="723"/>
      <c r="BV369" s="723"/>
      <c r="BW369" s="723"/>
      <c r="BX369" s="723"/>
      <c r="BY369" s="723"/>
      <c r="BZ369" s="723"/>
      <c r="CA369" s="723"/>
      <c r="CB369" s="516">
        <v>0</v>
      </c>
      <c r="CC369" s="297">
        <v>0</v>
      </c>
      <c r="CD369" s="723"/>
    </row>
    <row r="370" spans="1:82" x14ac:dyDescent="0.2">
      <c r="A370" s="703"/>
      <c r="B370" s="292" t="s">
        <v>1381</v>
      </c>
      <c r="C370" s="329" t="s">
        <v>1243</v>
      </c>
      <c r="D370" s="314"/>
      <c r="E370" s="704"/>
      <c r="F370" s="294" t="s">
        <v>1244</v>
      </c>
      <c r="G370" s="296"/>
      <c r="H370" s="296"/>
      <c r="I370" s="296"/>
      <c r="J370" s="296"/>
      <c r="K370" s="296"/>
      <c r="L370" s="296"/>
      <c r="M370" s="296"/>
      <c r="N370" s="296"/>
      <c r="O370" s="296"/>
      <c r="P370" s="296">
        <f t="shared" ref="P370:R385" si="112">S370-M370</f>
        <v>805</v>
      </c>
      <c r="Q370" s="296">
        <f t="shared" si="112"/>
        <v>217</v>
      </c>
      <c r="R370" s="296">
        <f t="shared" si="112"/>
        <v>1022</v>
      </c>
      <c r="S370" s="296">
        <v>805</v>
      </c>
      <c r="T370" s="296">
        <v>217</v>
      </c>
      <c r="U370" s="296">
        <f>SUM(S370:T370)</f>
        <v>1022</v>
      </c>
      <c r="V370" s="296"/>
      <c r="W370" s="296"/>
      <c r="X370" s="296"/>
      <c r="Y370" s="296">
        <v>805</v>
      </c>
      <c r="Z370" s="296">
        <v>217</v>
      </c>
      <c r="AA370" s="296">
        <v>1022</v>
      </c>
      <c r="AB370" s="296">
        <f t="shared" si="107"/>
        <v>0</v>
      </c>
      <c r="AC370" s="296">
        <f t="shared" si="107"/>
        <v>0</v>
      </c>
      <c r="AD370" s="296">
        <f t="shared" si="107"/>
        <v>0</v>
      </c>
      <c r="AE370" s="296">
        <v>805</v>
      </c>
      <c r="AF370" s="296">
        <v>217</v>
      </c>
      <c r="AG370" s="296">
        <f>SUM(AE370:AF370)</f>
        <v>1022</v>
      </c>
      <c r="AH370" s="299"/>
      <c r="AI370" s="296"/>
      <c r="AJ370" s="296"/>
      <c r="AK370" s="296"/>
      <c r="AL370" s="296"/>
      <c r="AM370" s="296"/>
      <c r="AN370" s="296"/>
      <c r="AO370" s="296"/>
      <c r="AP370" s="296"/>
      <c r="AQ370" s="296"/>
      <c r="AR370" s="296"/>
      <c r="AS370" s="296"/>
      <c r="AT370" s="296"/>
      <c r="AU370" s="296"/>
      <c r="AV370" s="296"/>
      <c r="AW370" s="296"/>
      <c r="AX370" s="296"/>
      <c r="AY370" s="296"/>
      <c r="AZ370" s="296"/>
      <c r="BA370" s="296"/>
      <c r="BB370" s="296"/>
      <c r="BC370" s="499"/>
      <c r="BD370" s="499"/>
      <c r="BE370" s="499"/>
      <c r="BF370" s="296"/>
      <c r="BG370" s="296"/>
      <c r="BH370" s="296"/>
      <c r="BI370" s="723"/>
      <c r="BJ370" s="723"/>
      <c r="BK370" s="723"/>
      <c r="BL370" s="723"/>
      <c r="BM370" s="723"/>
      <c r="BN370" s="723"/>
      <c r="BO370" s="723"/>
      <c r="BP370" s="723"/>
      <c r="BQ370" s="723"/>
      <c r="BR370" s="723"/>
      <c r="BS370" s="723"/>
      <c r="BT370" s="723"/>
      <c r="BU370" s="723"/>
      <c r="BV370" s="723"/>
      <c r="BW370" s="723"/>
      <c r="BX370" s="723"/>
      <c r="BY370" s="723"/>
      <c r="BZ370" s="723"/>
      <c r="CA370" s="723"/>
      <c r="CB370" s="516">
        <v>804848</v>
      </c>
      <c r="CC370" s="297">
        <v>1022</v>
      </c>
      <c r="CD370" s="723"/>
    </row>
    <row r="371" spans="1:82" x14ac:dyDescent="0.2">
      <c r="A371" s="703"/>
      <c r="B371" s="292" t="s">
        <v>1381</v>
      </c>
      <c r="C371" s="329" t="s">
        <v>982</v>
      </c>
      <c r="D371" s="314"/>
      <c r="E371" s="702" t="s">
        <v>983</v>
      </c>
      <c r="F371" s="294" t="s">
        <v>984</v>
      </c>
      <c r="G371" s="296"/>
      <c r="H371" s="296"/>
      <c r="I371" s="296"/>
      <c r="J371" s="296">
        <f t="shared" ref="J371:L375" si="113">M371-G371</f>
        <v>6120</v>
      </c>
      <c r="K371" s="296">
        <f t="shared" si="113"/>
        <v>1652</v>
      </c>
      <c r="L371" s="296">
        <f t="shared" si="113"/>
        <v>7772</v>
      </c>
      <c r="M371" s="296">
        <v>6120</v>
      </c>
      <c r="N371" s="296">
        <v>1652</v>
      </c>
      <c r="O371" s="296">
        <f>SUM(M371:N371)</f>
        <v>7772</v>
      </c>
      <c r="P371" s="296">
        <f t="shared" si="112"/>
        <v>0</v>
      </c>
      <c r="Q371" s="296">
        <f t="shared" si="112"/>
        <v>0</v>
      </c>
      <c r="R371" s="296">
        <f t="shared" si="112"/>
        <v>0</v>
      </c>
      <c r="S371" s="296">
        <v>6120</v>
      </c>
      <c r="T371" s="296">
        <v>1652</v>
      </c>
      <c r="U371" s="296">
        <f t="shared" ref="U371:U376" si="114">SUM(S371:T371)</f>
        <v>7772</v>
      </c>
      <c r="V371" s="296"/>
      <c r="W371" s="296"/>
      <c r="X371" s="296"/>
      <c r="Y371" s="296">
        <v>6120</v>
      </c>
      <c r="Z371" s="296">
        <v>1652</v>
      </c>
      <c r="AA371" s="296">
        <v>7772</v>
      </c>
      <c r="AB371" s="296">
        <f t="shared" si="107"/>
        <v>0</v>
      </c>
      <c r="AC371" s="296">
        <f t="shared" si="107"/>
        <v>0</v>
      </c>
      <c r="AD371" s="296">
        <f t="shared" si="107"/>
        <v>0</v>
      </c>
      <c r="AE371" s="296">
        <v>6120</v>
      </c>
      <c r="AF371" s="296">
        <v>1652</v>
      </c>
      <c r="AG371" s="296">
        <f t="shared" ref="AG371:AG377" si="115">SUM(AE371:AF371)</f>
        <v>7772</v>
      </c>
      <c r="AH371" s="299"/>
      <c r="AI371" s="296"/>
      <c r="AJ371" s="296"/>
      <c r="AK371" s="296"/>
      <c r="AL371" s="296"/>
      <c r="AM371" s="296"/>
      <c r="AN371" s="296"/>
      <c r="AO371" s="296"/>
      <c r="AP371" s="296"/>
      <c r="AQ371" s="296"/>
      <c r="AR371" s="296"/>
      <c r="AS371" s="296"/>
      <c r="AT371" s="296"/>
      <c r="AU371" s="296"/>
      <c r="AV371" s="296"/>
      <c r="AW371" s="296"/>
      <c r="AX371" s="296"/>
      <c r="AY371" s="296"/>
      <c r="AZ371" s="296"/>
      <c r="BA371" s="296"/>
      <c r="BB371" s="296"/>
      <c r="BC371" s="499"/>
      <c r="BD371" s="499"/>
      <c r="BE371" s="499"/>
      <c r="BF371" s="296"/>
      <c r="BG371" s="296"/>
      <c r="BH371" s="296"/>
      <c r="BI371" s="723"/>
      <c r="BJ371" s="723"/>
      <c r="BK371" s="723"/>
      <c r="BL371" s="723"/>
      <c r="BM371" s="723"/>
      <c r="BN371" s="723"/>
      <c r="BO371" s="723"/>
      <c r="BP371" s="723"/>
      <c r="BQ371" s="723"/>
      <c r="BR371" s="723"/>
      <c r="BS371" s="723"/>
      <c r="BT371" s="723"/>
      <c r="BU371" s="723"/>
      <c r="BV371" s="723"/>
      <c r="BW371" s="723"/>
      <c r="BX371" s="723"/>
      <c r="BY371" s="723"/>
      <c r="BZ371" s="723"/>
      <c r="CA371" s="723"/>
      <c r="CB371" s="516">
        <v>6119779</v>
      </c>
      <c r="CC371" s="297">
        <v>7772</v>
      </c>
      <c r="CD371" s="723"/>
    </row>
    <row r="372" spans="1:82" x14ac:dyDescent="0.2">
      <c r="A372" s="703"/>
      <c r="B372" s="292" t="s">
        <v>1381</v>
      </c>
      <c r="C372" s="329" t="s">
        <v>985</v>
      </c>
      <c r="D372" s="314"/>
      <c r="E372" s="703"/>
      <c r="F372" s="294" t="s">
        <v>986</v>
      </c>
      <c r="G372" s="296"/>
      <c r="H372" s="296"/>
      <c r="I372" s="296"/>
      <c r="J372" s="296">
        <f t="shared" si="113"/>
        <v>6141</v>
      </c>
      <c r="K372" s="296">
        <f t="shared" si="113"/>
        <v>1658</v>
      </c>
      <c r="L372" s="296">
        <f t="shared" si="113"/>
        <v>7799</v>
      </c>
      <c r="M372" s="296">
        <v>6141</v>
      </c>
      <c r="N372" s="296">
        <v>1658</v>
      </c>
      <c r="O372" s="296">
        <f>SUM(M372:N372)</f>
        <v>7799</v>
      </c>
      <c r="P372" s="296">
        <f t="shared" si="112"/>
        <v>0</v>
      </c>
      <c r="Q372" s="296">
        <f t="shared" si="112"/>
        <v>0</v>
      </c>
      <c r="R372" s="296">
        <f t="shared" si="112"/>
        <v>0</v>
      </c>
      <c r="S372" s="296">
        <v>6141</v>
      </c>
      <c r="T372" s="296">
        <v>1658</v>
      </c>
      <c r="U372" s="296">
        <f t="shared" si="114"/>
        <v>7799</v>
      </c>
      <c r="V372" s="296"/>
      <c r="W372" s="296"/>
      <c r="X372" s="296"/>
      <c r="Y372" s="296">
        <v>6141</v>
      </c>
      <c r="Z372" s="296">
        <v>1658</v>
      </c>
      <c r="AA372" s="296">
        <v>7799</v>
      </c>
      <c r="AB372" s="296">
        <f t="shared" si="107"/>
        <v>0</v>
      </c>
      <c r="AC372" s="296">
        <f t="shared" si="107"/>
        <v>0</v>
      </c>
      <c r="AD372" s="296">
        <f t="shared" si="107"/>
        <v>0</v>
      </c>
      <c r="AE372" s="296">
        <v>6141</v>
      </c>
      <c r="AF372" s="296">
        <v>1658</v>
      </c>
      <c r="AG372" s="296">
        <f t="shared" si="115"/>
        <v>7799</v>
      </c>
      <c r="AH372" s="299"/>
      <c r="AI372" s="296"/>
      <c r="AJ372" s="296"/>
      <c r="AK372" s="296"/>
      <c r="AL372" s="296"/>
      <c r="AM372" s="296"/>
      <c r="AN372" s="296"/>
      <c r="AO372" s="296"/>
      <c r="AP372" s="296"/>
      <c r="AQ372" s="296"/>
      <c r="AR372" s="296"/>
      <c r="AS372" s="296"/>
      <c r="AT372" s="296"/>
      <c r="AU372" s="296"/>
      <c r="AV372" s="296"/>
      <c r="AW372" s="296"/>
      <c r="AX372" s="296"/>
      <c r="AY372" s="296"/>
      <c r="AZ372" s="296"/>
      <c r="BA372" s="296"/>
      <c r="BB372" s="296"/>
      <c r="BC372" s="499"/>
      <c r="BD372" s="499"/>
      <c r="BE372" s="499"/>
      <c r="BF372" s="296"/>
      <c r="BG372" s="296"/>
      <c r="BH372" s="296"/>
      <c r="BI372" s="723"/>
      <c r="BJ372" s="723"/>
      <c r="BK372" s="723"/>
      <c r="BL372" s="723"/>
      <c r="BM372" s="723"/>
      <c r="BN372" s="723"/>
      <c r="BO372" s="723"/>
      <c r="BP372" s="723"/>
      <c r="BQ372" s="723"/>
      <c r="BR372" s="723"/>
      <c r="BS372" s="723"/>
      <c r="BT372" s="723"/>
      <c r="BU372" s="723"/>
      <c r="BV372" s="723"/>
      <c r="BW372" s="723"/>
      <c r="BX372" s="723"/>
      <c r="BY372" s="723"/>
      <c r="BZ372" s="723"/>
      <c r="CA372" s="723"/>
      <c r="CB372" s="516">
        <v>6140953</v>
      </c>
      <c r="CC372" s="297">
        <v>7799</v>
      </c>
      <c r="CD372" s="723"/>
    </row>
    <row r="373" spans="1:82" x14ac:dyDescent="0.2">
      <c r="A373" s="703"/>
      <c r="B373" s="292" t="s">
        <v>1381</v>
      </c>
      <c r="C373" s="329" t="s">
        <v>987</v>
      </c>
      <c r="D373" s="314"/>
      <c r="E373" s="703"/>
      <c r="F373" s="294" t="s">
        <v>988</v>
      </c>
      <c r="G373" s="296"/>
      <c r="H373" s="296"/>
      <c r="I373" s="296"/>
      <c r="J373" s="296">
        <f t="shared" si="113"/>
        <v>6111</v>
      </c>
      <c r="K373" s="296">
        <f t="shared" si="113"/>
        <v>1650</v>
      </c>
      <c r="L373" s="296">
        <f t="shared" si="113"/>
        <v>7761</v>
      </c>
      <c r="M373" s="296">
        <v>6111</v>
      </c>
      <c r="N373" s="296">
        <v>1650</v>
      </c>
      <c r="O373" s="296">
        <f>SUM(M373:N373)</f>
        <v>7761</v>
      </c>
      <c r="P373" s="296">
        <f t="shared" si="112"/>
        <v>0</v>
      </c>
      <c r="Q373" s="296">
        <f t="shared" si="112"/>
        <v>0</v>
      </c>
      <c r="R373" s="296">
        <f t="shared" si="112"/>
        <v>0</v>
      </c>
      <c r="S373" s="296">
        <v>6111</v>
      </c>
      <c r="T373" s="296">
        <v>1650</v>
      </c>
      <c r="U373" s="296">
        <f t="shared" si="114"/>
        <v>7761</v>
      </c>
      <c r="V373" s="296"/>
      <c r="W373" s="296"/>
      <c r="X373" s="296"/>
      <c r="Y373" s="296">
        <v>6111</v>
      </c>
      <c r="Z373" s="296">
        <v>1650</v>
      </c>
      <c r="AA373" s="296">
        <v>7761</v>
      </c>
      <c r="AB373" s="296">
        <f t="shared" si="107"/>
        <v>0</v>
      </c>
      <c r="AC373" s="296">
        <f t="shared" si="107"/>
        <v>0</v>
      </c>
      <c r="AD373" s="296">
        <f t="shared" si="107"/>
        <v>0</v>
      </c>
      <c r="AE373" s="296">
        <v>6111</v>
      </c>
      <c r="AF373" s="296">
        <v>1650</v>
      </c>
      <c r="AG373" s="296">
        <f t="shared" si="115"/>
        <v>7761</v>
      </c>
      <c r="AH373" s="299"/>
      <c r="AI373" s="296"/>
      <c r="AJ373" s="296"/>
      <c r="AK373" s="296"/>
      <c r="AL373" s="296"/>
      <c r="AM373" s="296"/>
      <c r="AN373" s="296"/>
      <c r="AO373" s="296"/>
      <c r="AP373" s="296"/>
      <c r="AQ373" s="296"/>
      <c r="AR373" s="296"/>
      <c r="AS373" s="296"/>
      <c r="AT373" s="296"/>
      <c r="AU373" s="296"/>
      <c r="AV373" s="296"/>
      <c r="AW373" s="296"/>
      <c r="AX373" s="296"/>
      <c r="AY373" s="296"/>
      <c r="AZ373" s="296"/>
      <c r="BA373" s="296"/>
      <c r="BB373" s="296"/>
      <c r="BC373" s="499"/>
      <c r="BD373" s="499"/>
      <c r="BE373" s="499"/>
      <c r="BF373" s="296"/>
      <c r="BG373" s="296"/>
      <c r="BH373" s="296"/>
      <c r="BI373" s="723"/>
      <c r="BJ373" s="723"/>
      <c r="BK373" s="723"/>
      <c r="BL373" s="723"/>
      <c r="BM373" s="723"/>
      <c r="BN373" s="723"/>
      <c r="BO373" s="723"/>
      <c r="BP373" s="723"/>
      <c r="BQ373" s="723"/>
      <c r="BR373" s="723"/>
      <c r="BS373" s="723"/>
      <c r="BT373" s="723"/>
      <c r="BU373" s="723"/>
      <c r="BV373" s="723"/>
      <c r="BW373" s="723"/>
      <c r="BX373" s="723"/>
      <c r="BY373" s="723"/>
      <c r="BZ373" s="723"/>
      <c r="CA373" s="723"/>
      <c r="CB373" s="516">
        <v>6110857</v>
      </c>
      <c r="CC373" s="297">
        <v>7761</v>
      </c>
      <c r="CD373" s="723"/>
    </row>
    <row r="374" spans="1:82" ht="22.5" x14ac:dyDescent="0.2">
      <c r="A374" s="703"/>
      <c r="B374" s="292" t="s">
        <v>1381</v>
      </c>
      <c r="C374" s="329" t="s">
        <v>989</v>
      </c>
      <c r="D374" s="314"/>
      <c r="E374" s="703"/>
      <c r="F374" s="294" t="s">
        <v>990</v>
      </c>
      <c r="G374" s="296"/>
      <c r="H374" s="296"/>
      <c r="I374" s="296"/>
      <c r="J374" s="296">
        <f t="shared" si="113"/>
        <v>790</v>
      </c>
      <c r="K374" s="296">
        <f t="shared" si="113"/>
        <v>213</v>
      </c>
      <c r="L374" s="296">
        <f t="shared" si="113"/>
        <v>1003</v>
      </c>
      <c r="M374" s="296">
        <v>790</v>
      </c>
      <c r="N374" s="296">
        <v>213</v>
      </c>
      <c r="O374" s="296">
        <f>SUM(M374:N374)</f>
        <v>1003</v>
      </c>
      <c r="P374" s="296">
        <f t="shared" si="112"/>
        <v>0</v>
      </c>
      <c r="Q374" s="296">
        <f t="shared" si="112"/>
        <v>0</v>
      </c>
      <c r="R374" s="296">
        <f t="shared" si="112"/>
        <v>0</v>
      </c>
      <c r="S374" s="296">
        <v>790</v>
      </c>
      <c r="T374" s="296">
        <v>213</v>
      </c>
      <c r="U374" s="296">
        <f t="shared" si="114"/>
        <v>1003</v>
      </c>
      <c r="V374" s="296"/>
      <c r="W374" s="296"/>
      <c r="X374" s="296"/>
      <c r="Y374" s="296">
        <v>790</v>
      </c>
      <c r="Z374" s="296">
        <v>213</v>
      </c>
      <c r="AA374" s="296">
        <v>1003</v>
      </c>
      <c r="AB374" s="296">
        <f t="shared" si="107"/>
        <v>0</v>
      </c>
      <c r="AC374" s="296">
        <f t="shared" si="107"/>
        <v>0</v>
      </c>
      <c r="AD374" s="296">
        <f t="shared" si="107"/>
        <v>0</v>
      </c>
      <c r="AE374" s="296">
        <v>790</v>
      </c>
      <c r="AF374" s="296">
        <v>213</v>
      </c>
      <c r="AG374" s="296">
        <f t="shared" si="115"/>
        <v>1003</v>
      </c>
      <c r="AH374" s="299"/>
      <c r="AI374" s="296"/>
      <c r="AJ374" s="296"/>
      <c r="AK374" s="296"/>
      <c r="AL374" s="296"/>
      <c r="AM374" s="296"/>
      <c r="AN374" s="296"/>
      <c r="AO374" s="296"/>
      <c r="AP374" s="296"/>
      <c r="AQ374" s="296"/>
      <c r="AR374" s="296"/>
      <c r="AS374" s="296"/>
      <c r="AT374" s="296"/>
      <c r="AU374" s="296"/>
      <c r="AV374" s="296"/>
      <c r="AW374" s="296"/>
      <c r="AX374" s="296"/>
      <c r="AY374" s="296"/>
      <c r="AZ374" s="296"/>
      <c r="BA374" s="296"/>
      <c r="BB374" s="296"/>
      <c r="BC374" s="499"/>
      <c r="BD374" s="499"/>
      <c r="BE374" s="499"/>
      <c r="BF374" s="296"/>
      <c r="BG374" s="296"/>
      <c r="BH374" s="296"/>
      <c r="BI374" s="723"/>
      <c r="BJ374" s="723"/>
      <c r="BK374" s="723"/>
      <c r="BL374" s="723"/>
      <c r="BM374" s="723"/>
      <c r="BN374" s="723"/>
      <c r="BO374" s="723"/>
      <c r="BP374" s="723"/>
      <c r="BQ374" s="723"/>
      <c r="BR374" s="723"/>
      <c r="BS374" s="723"/>
      <c r="BT374" s="723"/>
      <c r="BU374" s="723"/>
      <c r="BV374" s="723"/>
      <c r="BW374" s="723"/>
      <c r="BX374" s="723"/>
      <c r="BY374" s="723"/>
      <c r="BZ374" s="723"/>
      <c r="CA374" s="723"/>
      <c r="CB374" s="516">
        <v>790000</v>
      </c>
      <c r="CC374" s="297">
        <v>1003</v>
      </c>
      <c r="CD374" s="723"/>
    </row>
    <row r="375" spans="1:82" ht="22.5" x14ac:dyDescent="0.2">
      <c r="A375" s="703"/>
      <c r="B375" s="292" t="s">
        <v>1381</v>
      </c>
      <c r="C375" s="329" t="s">
        <v>991</v>
      </c>
      <c r="D375" s="314"/>
      <c r="E375" s="703"/>
      <c r="F375" s="294" t="s">
        <v>992</v>
      </c>
      <c r="G375" s="296"/>
      <c r="H375" s="296"/>
      <c r="I375" s="296"/>
      <c r="J375" s="296">
        <f t="shared" si="113"/>
        <v>384</v>
      </c>
      <c r="K375" s="296">
        <f t="shared" si="113"/>
        <v>104</v>
      </c>
      <c r="L375" s="296">
        <f t="shared" si="113"/>
        <v>488</v>
      </c>
      <c r="M375" s="296">
        <v>384</v>
      </c>
      <c r="N375" s="296">
        <v>104</v>
      </c>
      <c r="O375" s="296">
        <f>SUM(M375:N375)</f>
        <v>488</v>
      </c>
      <c r="P375" s="296">
        <f t="shared" si="112"/>
        <v>0</v>
      </c>
      <c r="Q375" s="296">
        <f t="shared" si="112"/>
        <v>0</v>
      </c>
      <c r="R375" s="296">
        <f t="shared" si="112"/>
        <v>0</v>
      </c>
      <c r="S375" s="296">
        <v>384</v>
      </c>
      <c r="T375" s="296">
        <v>104</v>
      </c>
      <c r="U375" s="296">
        <f t="shared" si="114"/>
        <v>488</v>
      </c>
      <c r="V375" s="296"/>
      <c r="W375" s="296"/>
      <c r="X375" s="296"/>
      <c r="Y375" s="296">
        <v>384</v>
      </c>
      <c r="Z375" s="296">
        <v>104</v>
      </c>
      <c r="AA375" s="296">
        <v>488</v>
      </c>
      <c r="AB375" s="296">
        <f t="shared" si="107"/>
        <v>0</v>
      </c>
      <c r="AC375" s="296">
        <f t="shared" si="107"/>
        <v>-1</v>
      </c>
      <c r="AD375" s="296">
        <f t="shared" si="107"/>
        <v>-1</v>
      </c>
      <c r="AE375" s="296">
        <v>384</v>
      </c>
      <c r="AF375" s="296">
        <v>103</v>
      </c>
      <c r="AG375" s="296">
        <f t="shared" si="115"/>
        <v>487</v>
      </c>
      <c r="AH375" s="299"/>
      <c r="AI375" s="296"/>
      <c r="AJ375" s="296"/>
      <c r="AK375" s="296"/>
      <c r="AL375" s="296"/>
      <c r="AM375" s="296"/>
      <c r="AN375" s="296"/>
      <c r="AO375" s="296"/>
      <c r="AP375" s="296"/>
      <c r="AQ375" s="296"/>
      <c r="AR375" s="296"/>
      <c r="AS375" s="296"/>
      <c r="AT375" s="296"/>
      <c r="AU375" s="296"/>
      <c r="AV375" s="296"/>
      <c r="AW375" s="296"/>
      <c r="AX375" s="296"/>
      <c r="AY375" s="296"/>
      <c r="AZ375" s="296"/>
      <c r="BA375" s="296"/>
      <c r="BB375" s="296"/>
      <c r="BC375" s="499"/>
      <c r="BD375" s="499"/>
      <c r="BE375" s="499"/>
      <c r="BF375" s="296"/>
      <c r="BG375" s="296"/>
      <c r="BH375" s="296"/>
      <c r="BI375" s="723"/>
      <c r="BJ375" s="723"/>
      <c r="BK375" s="723"/>
      <c r="BL375" s="723"/>
      <c r="BM375" s="723"/>
      <c r="BN375" s="723"/>
      <c r="BO375" s="723"/>
      <c r="BP375" s="723"/>
      <c r="BQ375" s="723"/>
      <c r="BR375" s="723"/>
      <c r="BS375" s="723"/>
      <c r="BT375" s="723"/>
      <c r="BU375" s="723"/>
      <c r="BV375" s="723"/>
      <c r="BW375" s="723"/>
      <c r="BX375" s="723"/>
      <c r="BY375" s="723"/>
      <c r="BZ375" s="723"/>
      <c r="CA375" s="723"/>
      <c r="CB375" s="516">
        <v>383748</v>
      </c>
      <c r="CC375" s="297">
        <v>488</v>
      </c>
      <c r="CD375" s="723"/>
    </row>
    <row r="376" spans="1:82" ht="22.5" x14ac:dyDescent="0.2">
      <c r="A376" s="703"/>
      <c r="B376" s="292" t="s">
        <v>1381</v>
      </c>
      <c r="C376" s="329" t="s">
        <v>1245</v>
      </c>
      <c r="D376" s="314"/>
      <c r="E376" s="703"/>
      <c r="F376" s="294" t="s">
        <v>1246</v>
      </c>
      <c r="G376" s="296"/>
      <c r="H376" s="296"/>
      <c r="I376" s="296"/>
      <c r="J376" s="296"/>
      <c r="K376" s="296"/>
      <c r="L376" s="296"/>
      <c r="M376" s="296"/>
      <c r="N376" s="296"/>
      <c r="O376" s="296"/>
      <c r="P376" s="296">
        <f t="shared" si="112"/>
        <v>480</v>
      </c>
      <c r="Q376" s="296">
        <f t="shared" si="112"/>
        <v>130</v>
      </c>
      <c r="R376" s="296">
        <f t="shared" si="112"/>
        <v>610</v>
      </c>
      <c r="S376" s="296">
        <v>480</v>
      </c>
      <c r="T376" s="296">
        <v>130</v>
      </c>
      <c r="U376" s="296">
        <f t="shared" si="114"/>
        <v>610</v>
      </c>
      <c r="V376" s="296"/>
      <c r="W376" s="296"/>
      <c r="X376" s="296"/>
      <c r="Y376" s="296">
        <v>480</v>
      </c>
      <c r="Z376" s="296">
        <v>130</v>
      </c>
      <c r="AA376" s="296">
        <v>610</v>
      </c>
      <c r="AB376" s="296">
        <f t="shared" si="107"/>
        <v>0</v>
      </c>
      <c r="AC376" s="296">
        <f t="shared" si="107"/>
        <v>0</v>
      </c>
      <c r="AD376" s="296">
        <f t="shared" si="107"/>
        <v>0</v>
      </c>
      <c r="AE376" s="296">
        <v>480</v>
      </c>
      <c r="AF376" s="296">
        <v>130</v>
      </c>
      <c r="AG376" s="296">
        <f t="shared" si="115"/>
        <v>610</v>
      </c>
      <c r="AH376" s="299"/>
      <c r="AI376" s="296"/>
      <c r="AJ376" s="296"/>
      <c r="AK376" s="296"/>
      <c r="AL376" s="296"/>
      <c r="AM376" s="296"/>
      <c r="AN376" s="296"/>
      <c r="AO376" s="296"/>
      <c r="AP376" s="296"/>
      <c r="AQ376" s="296"/>
      <c r="AR376" s="296"/>
      <c r="AS376" s="296"/>
      <c r="AT376" s="296"/>
      <c r="AU376" s="296"/>
      <c r="AV376" s="296"/>
      <c r="AW376" s="296"/>
      <c r="AX376" s="296"/>
      <c r="AY376" s="296"/>
      <c r="AZ376" s="296"/>
      <c r="BA376" s="296"/>
      <c r="BB376" s="296"/>
      <c r="BC376" s="499"/>
      <c r="BD376" s="499"/>
      <c r="BE376" s="499"/>
      <c r="BF376" s="296"/>
      <c r="BG376" s="296"/>
      <c r="BH376" s="296"/>
      <c r="BI376" s="723"/>
      <c r="BJ376" s="723"/>
      <c r="BK376" s="723"/>
      <c r="BL376" s="723"/>
      <c r="BM376" s="723"/>
      <c r="BN376" s="724"/>
      <c r="BO376" s="724"/>
      <c r="BP376" s="510"/>
      <c r="BQ376" s="724"/>
      <c r="BR376" s="723"/>
      <c r="BS376" s="723"/>
      <c r="BT376" s="723"/>
      <c r="BU376" s="723"/>
      <c r="BV376" s="723"/>
      <c r="BW376" s="724"/>
      <c r="BX376" s="724"/>
      <c r="BY376" s="510"/>
      <c r="BZ376" s="724"/>
      <c r="CA376" s="723"/>
      <c r="CB376" s="516">
        <v>479700</v>
      </c>
      <c r="CC376" s="297">
        <v>609</v>
      </c>
      <c r="CD376" s="724"/>
    </row>
    <row r="377" spans="1:82" x14ac:dyDescent="0.2">
      <c r="A377" s="702" t="s">
        <v>424</v>
      </c>
      <c r="B377" s="292" t="s">
        <v>1429</v>
      </c>
      <c r="C377" s="293" t="s">
        <v>993</v>
      </c>
      <c r="D377" s="303"/>
      <c r="E377" s="702" t="s">
        <v>994</v>
      </c>
      <c r="F377" s="311" t="s">
        <v>995</v>
      </c>
      <c r="G377" s="296">
        <v>4800</v>
      </c>
      <c r="H377" s="296">
        <v>1296</v>
      </c>
      <c r="I377" s="296">
        <f>SUM(G377:H377)</f>
        <v>6096</v>
      </c>
      <c r="J377" s="296">
        <f t="shared" ref="J377:L409" si="116">M377-G377</f>
        <v>0</v>
      </c>
      <c r="K377" s="296">
        <f t="shared" si="116"/>
        <v>0</v>
      </c>
      <c r="L377" s="296">
        <f t="shared" si="116"/>
        <v>0</v>
      </c>
      <c r="M377" s="296">
        <v>4800</v>
      </c>
      <c r="N377" s="296">
        <v>1296</v>
      </c>
      <c r="O377" s="296">
        <f>SUM(M377:N377)</f>
        <v>6096</v>
      </c>
      <c r="P377" s="296">
        <f t="shared" si="112"/>
        <v>2000</v>
      </c>
      <c r="Q377" s="296">
        <f t="shared" si="112"/>
        <v>540</v>
      </c>
      <c r="R377" s="296">
        <f t="shared" si="112"/>
        <v>0</v>
      </c>
      <c r="S377" s="296">
        <v>6800</v>
      </c>
      <c r="T377" s="296">
        <v>1836</v>
      </c>
      <c r="U377" s="296">
        <f>O377-SUM(R378:R379)</f>
        <v>6096</v>
      </c>
      <c r="V377" s="296"/>
      <c r="W377" s="296"/>
      <c r="X377" s="296"/>
      <c r="Y377" s="296">
        <v>6800</v>
      </c>
      <c r="Z377" s="296">
        <v>1836</v>
      </c>
      <c r="AA377" s="296">
        <v>6096</v>
      </c>
      <c r="AB377" s="296">
        <f t="shared" si="107"/>
        <v>0</v>
      </c>
      <c r="AC377" s="296">
        <f t="shared" si="107"/>
        <v>0</v>
      </c>
      <c r="AD377" s="296">
        <f t="shared" si="107"/>
        <v>2540</v>
      </c>
      <c r="AE377" s="296">
        <v>6800</v>
      </c>
      <c r="AF377" s="296">
        <v>1836</v>
      </c>
      <c r="AG377" s="296">
        <f t="shared" si="115"/>
        <v>8636</v>
      </c>
      <c r="AH377" s="299"/>
      <c r="AI377" s="296"/>
      <c r="AJ377" s="296"/>
      <c r="AK377" s="296"/>
      <c r="AL377" s="296"/>
      <c r="AM377" s="296"/>
      <c r="AN377" s="296"/>
      <c r="AO377" s="296"/>
      <c r="AP377" s="296"/>
      <c r="AQ377" s="296"/>
      <c r="AR377" s="296"/>
      <c r="AS377" s="296"/>
      <c r="AT377" s="296"/>
      <c r="AU377" s="296"/>
      <c r="AV377" s="296"/>
      <c r="AW377" s="296"/>
      <c r="AX377" s="296"/>
      <c r="AY377" s="296"/>
      <c r="AZ377" s="296"/>
      <c r="BA377" s="296"/>
      <c r="BB377" s="296"/>
      <c r="BC377" s="499"/>
      <c r="BD377" s="499"/>
      <c r="BE377" s="499"/>
      <c r="BF377" s="296"/>
      <c r="BG377" s="296"/>
      <c r="BH377" s="296"/>
      <c r="BI377" s="722">
        <f>SUM(I377:I394)</f>
        <v>88096</v>
      </c>
      <c r="BJ377" s="725">
        <f>SUM(L377:L392)</f>
        <v>0</v>
      </c>
      <c r="BK377" s="722">
        <f>SUM(O377:O392)</f>
        <v>88096</v>
      </c>
      <c r="BL377" s="725">
        <f>SUM(R377:R392)</f>
        <v>0</v>
      </c>
      <c r="BM377" s="722">
        <f>SUM(U377:U392)</f>
        <v>88096</v>
      </c>
      <c r="BN377" s="722">
        <f>SUM(AD377:AD394)</f>
        <v>-106559</v>
      </c>
      <c r="BO377" s="722">
        <f>SUM(AA377:AA394)</f>
        <v>215096</v>
      </c>
      <c r="BP377" s="725"/>
      <c r="BQ377" s="722">
        <f>SUM(AG377:AG394)</f>
        <v>108537</v>
      </c>
      <c r="BR377" s="722">
        <f>SUM(AJ377:AJ394)</f>
        <v>0</v>
      </c>
      <c r="BS377" s="725">
        <f>SUM(AM377:AM392)</f>
        <v>0</v>
      </c>
      <c r="BT377" s="722">
        <f>SUM(AP377:AP392)</f>
        <v>0</v>
      </c>
      <c r="BU377" s="722">
        <f>SUM(AS377:AS392)</f>
        <v>0</v>
      </c>
      <c r="BV377" s="722">
        <f>SUM(AV377:AV392)</f>
        <v>0</v>
      </c>
      <c r="BW377" s="722">
        <f>SUM(BE376:BE394)</f>
        <v>0</v>
      </c>
      <c r="BX377" s="722">
        <f>SUM(BB377:BB394)</f>
        <v>0</v>
      </c>
      <c r="BY377" s="725"/>
      <c r="BZ377" s="722">
        <f>SUM(BH377:BH394)</f>
        <v>0</v>
      </c>
      <c r="CA377" s="722">
        <f>SUM(BQ377,BZ377)</f>
        <v>108537</v>
      </c>
      <c r="CB377" s="516">
        <v>6800000</v>
      </c>
      <c r="CC377" s="297">
        <v>8636</v>
      </c>
      <c r="CD377" s="722">
        <f>SUM(CC377:CC394)</f>
        <v>108537</v>
      </c>
    </row>
    <row r="378" spans="1:82" x14ac:dyDescent="0.2">
      <c r="A378" s="703"/>
      <c r="B378" s="292" t="s">
        <v>1429</v>
      </c>
      <c r="C378" s="293" t="s">
        <v>1143</v>
      </c>
      <c r="D378" s="314"/>
      <c r="E378" s="703"/>
      <c r="F378" s="294" t="s">
        <v>1113</v>
      </c>
      <c r="G378" s="296">
        <v>25197</v>
      </c>
      <c r="H378" s="296">
        <v>6803</v>
      </c>
      <c r="I378" s="296">
        <f>SUM(G378:H378)</f>
        <v>32000</v>
      </c>
      <c r="J378" s="296">
        <f t="shared" si="116"/>
        <v>-15080</v>
      </c>
      <c r="K378" s="296">
        <f t="shared" si="116"/>
        <v>-4072</v>
      </c>
      <c r="L378" s="296">
        <f t="shared" si="116"/>
        <v>-19152</v>
      </c>
      <c r="M378" s="296">
        <f>G378-SUM(J379:J380)</f>
        <v>10117</v>
      </c>
      <c r="N378" s="296">
        <f>H378-SUM(K379:K380)</f>
        <v>2731</v>
      </c>
      <c r="O378" s="296">
        <f>I378-SUM(L379:L380)</f>
        <v>12848</v>
      </c>
      <c r="P378" s="296">
        <f t="shared" si="112"/>
        <v>0</v>
      </c>
      <c r="Q378" s="296">
        <f t="shared" si="112"/>
        <v>0</v>
      </c>
      <c r="R378" s="296">
        <f t="shared" si="112"/>
        <v>0</v>
      </c>
      <c r="S378" s="296">
        <f>M378-SUM(P379:P380)</f>
        <v>10117</v>
      </c>
      <c r="T378" s="296">
        <f>N378-SUM(Q379:Q380)</f>
        <v>2731</v>
      </c>
      <c r="U378" s="296">
        <f>O378-SUM(R379:R380)</f>
        <v>12848</v>
      </c>
      <c r="V378" s="296"/>
      <c r="W378" s="296"/>
      <c r="X378" s="296"/>
      <c r="Y378" s="296">
        <v>10117</v>
      </c>
      <c r="Z378" s="296">
        <v>2731</v>
      </c>
      <c r="AA378" s="296">
        <v>12848</v>
      </c>
      <c r="AB378" s="296">
        <f t="shared" si="107"/>
        <v>-10117</v>
      </c>
      <c r="AC378" s="296">
        <f t="shared" si="107"/>
        <v>-2731</v>
      </c>
      <c r="AD378" s="296">
        <f t="shared" si="107"/>
        <v>-12848</v>
      </c>
      <c r="AE378" s="296">
        <v>0</v>
      </c>
      <c r="AF378" s="296">
        <v>0</v>
      </c>
      <c r="AG378" s="296">
        <f>SUM(AE378:AF378)</f>
        <v>0</v>
      </c>
      <c r="AH378" s="299"/>
      <c r="AI378" s="296"/>
      <c r="AJ378" s="296"/>
      <c r="AK378" s="296"/>
      <c r="AL378" s="296"/>
      <c r="AM378" s="296"/>
      <c r="AN378" s="296"/>
      <c r="AO378" s="296"/>
      <c r="AP378" s="296"/>
      <c r="AQ378" s="296"/>
      <c r="AR378" s="296"/>
      <c r="AS378" s="296"/>
      <c r="AT378" s="296"/>
      <c r="AU378" s="296"/>
      <c r="AV378" s="296"/>
      <c r="AW378" s="296"/>
      <c r="AX378" s="296"/>
      <c r="AY378" s="296"/>
      <c r="AZ378" s="296"/>
      <c r="BA378" s="296"/>
      <c r="BB378" s="296"/>
      <c r="BC378" s="499"/>
      <c r="BD378" s="499"/>
      <c r="BE378" s="499"/>
      <c r="BF378" s="296"/>
      <c r="BG378" s="296"/>
      <c r="BH378" s="296"/>
      <c r="BI378" s="723"/>
      <c r="BJ378" s="725"/>
      <c r="BK378" s="723"/>
      <c r="BL378" s="725"/>
      <c r="BM378" s="723"/>
      <c r="BN378" s="723"/>
      <c r="BO378" s="723"/>
      <c r="BP378" s="725"/>
      <c r="BQ378" s="723"/>
      <c r="BR378" s="723"/>
      <c r="BS378" s="725"/>
      <c r="BT378" s="723"/>
      <c r="BU378" s="723"/>
      <c r="BV378" s="723"/>
      <c r="BW378" s="723"/>
      <c r="BX378" s="723"/>
      <c r="BY378" s="725"/>
      <c r="BZ378" s="723"/>
      <c r="CA378" s="723"/>
      <c r="CB378" s="516">
        <v>0</v>
      </c>
      <c r="CC378" s="297">
        <v>0</v>
      </c>
      <c r="CD378" s="723"/>
    </row>
    <row r="379" spans="1:82" ht="22.5" x14ac:dyDescent="0.2">
      <c r="A379" s="703"/>
      <c r="B379" s="292" t="s">
        <v>1429</v>
      </c>
      <c r="C379" s="329" t="s">
        <v>1247</v>
      </c>
      <c r="D379" s="314"/>
      <c r="E379" s="703"/>
      <c r="F379" s="294" t="s">
        <v>997</v>
      </c>
      <c r="G379" s="296"/>
      <c r="H379" s="296"/>
      <c r="I379" s="296"/>
      <c r="J379" s="296">
        <f t="shared" si="116"/>
        <v>5180</v>
      </c>
      <c r="K379" s="296">
        <f t="shared" si="116"/>
        <v>1399</v>
      </c>
      <c r="L379" s="296">
        <f t="shared" si="116"/>
        <v>6579</v>
      </c>
      <c r="M379" s="296">
        <v>5180</v>
      </c>
      <c r="N379" s="296">
        <v>1399</v>
      </c>
      <c r="O379" s="296">
        <f>SUM(M379:N379)</f>
        <v>6579</v>
      </c>
      <c r="P379" s="296">
        <f t="shared" si="112"/>
        <v>0</v>
      </c>
      <c r="Q379" s="296">
        <f t="shared" si="112"/>
        <v>0</v>
      </c>
      <c r="R379" s="296">
        <f t="shared" si="112"/>
        <v>0</v>
      </c>
      <c r="S379" s="296">
        <v>5180</v>
      </c>
      <c r="T379" s="296">
        <v>1399</v>
      </c>
      <c r="U379" s="296">
        <f>SUM(S379:T379)</f>
        <v>6579</v>
      </c>
      <c r="V379" s="296"/>
      <c r="W379" s="296"/>
      <c r="X379" s="296"/>
      <c r="Y379" s="296">
        <v>5180</v>
      </c>
      <c r="Z379" s="296">
        <v>1399</v>
      </c>
      <c r="AA379" s="296">
        <v>6579</v>
      </c>
      <c r="AB379" s="296">
        <f t="shared" si="107"/>
        <v>0</v>
      </c>
      <c r="AC379" s="296">
        <f t="shared" si="107"/>
        <v>0</v>
      </c>
      <c r="AD379" s="296">
        <f t="shared" si="107"/>
        <v>0</v>
      </c>
      <c r="AE379" s="296">
        <v>5180</v>
      </c>
      <c r="AF379" s="296">
        <v>1399</v>
      </c>
      <c r="AG379" s="296">
        <f>SUM(AE379:AF379)</f>
        <v>6579</v>
      </c>
      <c r="AH379" s="299"/>
      <c r="AI379" s="296"/>
      <c r="AJ379" s="296"/>
      <c r="AK379" s="296"/>
      <c r="AL379" s="296"/>
      <c r="AM379" s="296"/>
      <c r="AN379" s="296"/>
      <c r="AO379" s="296"/>
      <c r="AP379" s="296"/>
      <c r="AQ379" s="296"/>
      <c r="AR379" s="296"/>
      <c r="AS379" s="296"/>
      <c r="AT379" s="296"/>
      <c r="AU379" s="296"/>
      <c r="AV379" s="296"/>
      <c r="AW379" s="296"/>
      <c r="AX379" s="296"/>
      <c r="AY379" s="296"/>
      <c r="AZ379" s="296"/>
      <c r="BA379" s="296"/>
      <c r="BB379" s="296"/>
      <c r="BC379" s="499"/>
      <c r="BD379" s="499"/>
      <c r="BE379" s="499"/>
      <c r="BF379" s="296"/>
      <c r="BG379" s="296"/>
      <c r="BH379" s="296"/>
      <c r="BI379" s="723"/>
      <c r="BJ379" s="725"/>
      <c r="BK379" s="723"/>
      <c r="BL379" s="725"/>
      <c r="BM379" s="723"/>
      <c r="BN379" s="723"/>
      <c r="BO379" s="723"/>
      <c r="BP379" s="725"/>
      <c r="BQ379" s="723"/>
      <c r="BR379" s="723"/>
      <c r="BS379" s="725"/>
      <c r="BT379" s="723"/>
      <c r="BU379" s="723"/>
      <c r="BV379" s="723"/>
      <c r="BW379" s="723"/>
      <c r="BX379" s="723"/>
      <c r="BY379" s="725"/>
      <c r="BZ379" s="723"/>
      <c r="CA379" s="723"/>
      <c r="CB379" s="516">
        <v>5180000</v>
      </c>
      <c r="CC379" s="297">
        <v>6579</v>
      </c>
      <c r="CD379" s="723"/>
    </row>
    <row r="380" spans="1:82" ht="15" customHeight="1" x14ac:dyDescent="0.2">
      <c r="A380" s="703"/>
      <c r="B380" s="292" t="s">
        <v>1381</v>
      </c>
      <c r="C380" s="293" t="s">
        <v>996</v>
      </c>
      <c r="D380" s="314"/>
      <c r="E380" s="703"/>
      <c r="F380" s="294" t="s">
        <v>1248</v>
      </c>
      <c r="G380" s="296"/>
      <c r="H380" s="296"/>
      <c r="I380" s="296"/>
      <c r="J380" s="296">
        <f t="shared" si="116"/>
        <v>9900</v>
      </c>
      <c r="K380" s="296">
        <f t="shared" si="116"/>
        <v>2673</v>
      </c>
      <c r="L380" s="296">
        <f t="shared" si="116"/>
        <v>12573</v>
      </c>
      <c r="M380" s="296">
        <v>9900</v>
      </c>
      <c r="N380" s="296">
        <v>2673</v>
      </c>
      <c r="O380" s="296">
        <v>12573</v>
      </c>
      <c r="P380" s="296">
        <f t="shared" si="112"/>
        <v>0</v>
      </c>
      <c r="Q380" s="296">
        <f t="shared" si="112"/>
        <v>0</v>
      </c>
      <c r="R380" s="296">
        <f t="shared" si="112"/>
        <v>0</v>
      </c>
      <c r="S380" s="296">
        <v>9900</v>
      </c>
      <c r="T380" s="296">
        <v>2673</v>
      </c>
      <c r="U380" s="296">
        <f>SUM(S380:T380)</f>
        <v>12573</v>
      </c>
      <c r="V380" s="296"/>
      <c r="W380" s="296"/>
      <c r="X380" s="296"/>
      <c r="Y380" s="296">
        <v>9900</v>
      </c>
      <c r="Z380" s="296">
        <v>2673</v>
      </c>
      <c r="AA380" s="296">
        <v>12573</v>
      </c>
      <c r="AB380" s="296">
        <f t="shared" si="107"/>
        <v>0</v>
      </c>
      <c r="AC380" s="296">
        <f t="shared" si="107"/>
        <v>0</v>
      </c>
      <c r="AD380" s="296">
        <f t="shared" si="107"/>
        <v>0</v>
      </c>
      <c r="AE380" s="296">
        <v>9900</v>
      </c>
      <c r="AF380" s="296">
        <v>2673</v>
      </c>
      <c r="AG380" s="296">
        <f>SUM(AE380:AF380)</f>
        <v>12573</v>
      </c>
      <c r="AH380" s="299"/>
      <c r="AI380" s="296"/>
      <c r="AJ380" s="296"/>
      <c r="AK380" s="296"/>
      <c r="AL380" s="296"/>
      <c r="AM380" s="296"/>
      <c r="AN380" s="296"/>
      <c r="AO380" s="296"/>
      <c r="AP380" s="296"/>
      <c r="AQ380" s="296"/>
      <c r="AR380" s="296"/>
      <c r="AS380" s="296"/>
      <c r="AT380" s="296"/>
      <c r="AU380" s="296"/>
      <c r="AV380" s="296"/>
      <c r="AW380" s="296"/>
      <c r="AX380" s="296"/>
      <c r="AY380" s="296"/>
      <c r="AZ380" s="296"/>
      <c r="BA380" s="296"/>
      <c r="BB380" s="296"/>
      <c r="BC380" s="499"/>
      <c r="BD380" s="499"/>
      <c r="BE380" s="499"/>
      <c r="BF380" s="296"/>
      <c r="BG380" s="296"/>
      <c r="BH380" s="296"/>
      <c r="BI380" s="723"/>
      <c r="BJ380" s="725"/>
      <c r="BK380" s="723"/>
      <c r="BL380" s="725"/>
      <c r="BM380" s="723"/>
      <c r="BN380" s="723"/>
      <c r="BO380" s="723"/>
      <c r="BP380" s="725"/>
      <c r="BQ380" s="723"/>
      <c r="BR380" s="723"/>
      <c r="BS380" s="725"/>
      <c r="BT380" s="723"/>
      <c r="BU380" s="723"/>
      <c r="BV380" s="723"/>
      <c r="BW380" s="723"/>
      <c r="BX380" s="723"/>
      <c r="BY380" s="725"/>
      <c r="BZ380" s="723"/>
      <c r="CA380" s="723"/>
      <c r="CB380" s="516">
        <v>9900000</v>
      </c>
      <c r="CC380" s="297">
        <v>12573</v>
      </c>
      <c r="CD380" s="723"/>
    </row>
    <row r="381" spans="1:82" x14ac:dyDescent="0.2">
      <c r="A381" s="703"/>
      <c r="B381" s="292" t="s">
        <v>1429</v>
      </c>
      <c r="C381" s="293" t="s">
        <v>1143</v>
      </c>
      <c r="D381" s="314"/>
      <c r="E381" s="703"/>
      <c r="F381" s="294" t="s">
        <v>516</v>
      </c>
      <c r="G381" s="346">
        <v>39370</v>
      </c>
      <c r="H381" s="346">
        <v>10630</v>
      </c>
      <c r="I381" s="346">
        <f>SUM(G381:H381)</f>
        <v>50000</v>
      </c>
      <c r="J381" s="346">
        <f t="shared" si="116"/>
        <v>-1215</v>
      </c>
      <c r="K381" s="346">
        <f t="shared" si="116"/>
        <v>-271</v>
      </c>
      <c r="L381" s="346">
        <f t="shared" si="116"/>
        <v>-1486</v>
      </c>
      <c r="M381" s="346">
        <f>G381-SUM(J382:J387)</f>
        <v>38155</v>
      </c>
      <c r="N381" s="346">
        <f>H381-SUM(K382:K387)</f>
        <v>10359</v>
      </c>
      <c r="O381" s="346">
        <f>I381-SUM(L382:L387)</f>
        <v>48514</v>
      </c>
      <c r="P381" s="296">
        <f t="shared" si="112"/>
        <v>-1928</v>
      </c>
      <c r="Q381" s="296">
        <f t="shared" si="112"/>
        <v>-509</v>
      </c>
      <c r="R381" s="296">
        <f t="shared" si="112"/>
        <v>-2437</v>
      </c>
      <c r="S381" s="346">
        <f>M381-SUM(P382:P392)</f>
        <v>36227</v>
      </c>
      <c r="T381" s="346">
        <f>N381-SUM(Q382:Q392)</f>
        <v>9850</v>
      </c>
      <c r="U381" s="346">
        <f>O381-SUM(R382:R392)</f>
        <v>46077</v>
      </c>
      <c r="V381" s="346"/>
      <c r="W381" s="346"/>
      <c r="X381" s="346"/>
      <c r="Y381" s="346">
        <v>36227</v>
      </c>
      <c r="Z381" s="346">
        <v>9850</v>
      </c>
      <c r="AA381" s="346">
        <v>46077</v>
      </c>
      <c r="AB381" s="346">
        <f t="shared" si="107"/>
        <v>-36227</v>
      </c>
      <c r="AC381" s="346">
        <f t="shared" si="107"/>
        <v>-9850</v>
      </c>
      <c r="AD381" s="346">
        <f t="shared" si="107"/>
        <v>-46077</v>
      </c>
      <c r="AE381" s="346">
        <v>0</v>
      </c>
      <c r="AF381" s="346">
        <v>0</v>
      </c>
      <c r="AG381" s="346">
        <f>SUM(AE381:AF381)</f>
        <v>0</v>
      </c>
      <c r="AH381" s="299"/>
      <c r="AI381" s="296"/>
      <c r="AJ381" s="296"/>
      <c r="AK381" s="296"/>
      <c r="AL381" s="296"/>
      <c r="AM381" s="296"/>
      <c r="AN381" s="296"/>
      <c r="AO381" s="296"/>
      <c r="AP381" s="296"/>
      <c r="AQ381" s="296"/>
      <c r="AR381" s="296"/>
      <c r="AS381" s="296"/>
      <c r="AT381" s="296"/>
      <c r="AU381" s="296"/>
      <c r="AV381" s="296"/>
      <c r="AW381" s="296"/>
      <c r="AX381" s="296"/>
      <c r="AY381" s="296"/>
      <c r="AZ381" s="296"/>
      <c r="BA381" s="296"/>
      <c r="BB381" s="296"/>
      <c r="BC381" s="499"/>
      <c r="BD381" s="499"/>
      <c r="BE381" s="499"/>
      <c r="BF381" s="296"/>
      <c r="BG381" s="296"/>
      <c r="BH381" s="296"/>
      <c r="BI381" s="723"/>
      <c r="BJ381" s="725"/>
      <c r="BK381" s="723"/>
      <c r="BL381" s="725"/>
      <c r="BM381" s="723"/>
      <c r="BN381" s="723"/>
      <c r="BO381" s="723"/>
      <c r="BP381" s="725"/>
      <c r="BQ381" s="723"/>
      <c r="BR381" s="723"/>
      <c r="BS381" s="725"/>
      <c r="BT381" s="723"/>
      <c r="BU381" s="723"/>
      <c r="BV381" s="723"/>
      <c r="BW381" s="723"/>
      <c r="BX381" s="723"/>
      <c r="BY381" s="725"/>
      <c r="BZ381" s="723"/>
      <c r="CA381" s="723"/>
      <c r="CB381" s="516">
        <v>0</v>
      </c>
      <c r="CC381" s="297">
        <v>0</v>
      </c>
      <c r="CD381" s="723"/>
    </row>
    <row r="382" spans="1:82" ht="22.5" x14ac:dyDescent="0.2">
      <c r="A382" s="703"/>
      <c r="B382" s="292" t="s">
        <v>1381</v>
      </c>
      <c r="C382" s="329" t="s">
        <v>998</v>
      </c>
      <c r="D382" s="314"/>
      <c r="E382" s="703"/>
      <c r="F382" s="294" t="s">
        <v>999</v>
      </c>
      <c r="G382" s="296"/>
      <c r="H382" s="296"/>
      <c r="I382" s="296"/>
      <c r="J382" s="296">
        <f t="shared" si="116"/>
        <v>675</v>
      </c>
      <c r="K382" s="296">
        <f t="shared" si="116"/>
        <v>182</v>
      </c>
      <c r="L382" s="296">
        <f t="shared" si="116"/>
        <v>857</v>
      </c>
      <c r="M382" s="296">
        <v>675</v>
      </c>
      <c r="N382" s="296">
        <v>182</v>
      </c>
      <c r="O382" s="296">
        <f t="shared" ref="O382:O387" si="117">SUM(M382:N382)</f>
        <v>857</v>
      </c>
      <c r="P382" s="296">
        <f t="shared" si="112"/>
        <v>-315</v>
      </c>
      <c r="Q382" s="296">
        <f t="shared" si="112"/>
        <v>-85</v>
      </c>
      <c r="R382" s="296">
        <f t="shared" si="112"/>
        <v>-400</v>
      </c>
      <c r="S382" s="296">
        <v>360</v>
      </c>
      <c r="T382" s="296">
        <v>97</v>
      </c>
      <c r="U382" s="296">
        <f>SUM(S382:T382)</f>
        <v>457</v>
      </c>
      <c r="V382" s="296"/>
      <c r="W382" s="296"/>
      <c r="X382" s="296"/>
      <c r="Y382" s="296">
        <v>360</v>
      </c>
      <c r="Z382" s="296">
        <v>97</v>
      </c>
      <c r="AA382" s="296">
        <v>457</v>
      </c>
      <c r="AB382" s="296">
        <f t="shared" si="107"/>
        <v>0</v>
      </c>
      <c r="AC382" s="296">
        <f t="shared" si="107"/>
        <v>0</v>
      </c>
      <c r="AD382" s="296">
        <f t="shared" si="107"/>
        <v>0</v>
      </c>
      <c r="AE382" s="296">
        <v>360</v>
      </c>
      <c r="AF382" s="296">
        <v>97</v>
      </c>
      <c r="AG382" s="296">
        <f>SUM(AE382:AF382)</f>
        <v>457</v>
      </c>
      <c r="AH382" s="299"/>
      <c r="AI382" s="296"/>
      <c r="AJ382" s="296"/>
      <c r="AK382" s="296"/>
      <c r="AL382" s="296"/>
      <c r="AM382" s="296"/>
      <c r="AN382" s="296"/>
      <c r="AO382" s="296"/>
      <c r="AP382" s="296"/>
      <c r="AQ382" s="296"/>
      <c r="AR382" s="296"/>
      <c r="AS382" s="296"/>
      <c r="AT382" s="296"/>
      <c r="AU382" s="296"/>
      <c r="AV382" s="296"/>
      <c r="AW382" s="296"/>
      <c r="AX382" s="296"/>
      <c r="AY382" s="296"/>
      <c r="AZ382" s="296"/>
      <c r="BA382" s="296"/>
      <c r="BB382" s="296"/>
      <c r="BC382" s="499"/>
      <c r="BD382" s="499"/>
      <c r="BE382" s="499"/>
      <c r="BF382" s="296"/>
      <c r="BG382" s="296"/>
      <c r="BH382" s="296"/>
      <c r="BI382" s="723"/>
      <c r="BJ382" s="725"/>
      <c r="BK382" s="723"/>
      <c r="BL382" s="725"/>
      <c r="BM382" s="723"/>
      <c r="BN382" s="723"/>
      <c r="BO382" s="723"/>
      <c r="BP382" s="516"/>
      <c r="BQ382" s="723"/>
      <c r="BR382" s="723"/>
      <c r="BS382" s="725"/>
      <c r="BT382" s="723"/>
      <c r="BU382" s="723"/>
      <c r="BV382" s="723"/>
      <c r="BW382" s="723"/>
      <c r="BX382" s="723"/>
      <c r="BY382" s="516"/>
      <c r="BZ382" s="723"/>
      <c r="CA382" s="723"/>
      <c r="CB382" s="516">
        <v>360000</v>
      </c>
      <c r="CC382" s="297">
        <v>457</v>
      </c>
      <c r="CD382" s="723"/>
    </row>
    <row r="383" spans="1:82" ht="22.5" x14ac:dyDescent="0.2">
      <c r="A383" s="703"/>
      <c r="B383" s="292" t="s">
        <v>1429</v>
      </c>
      <c r="C383" s="293" t="s">
        <v>1000</v>
      </c>
      <c r="D383" s="314"/>
      <c r="E383" s="703"/>
      <c r="F383" s="294" t="s">
        <v>1001</v>
      </c>
      <c r="G383" s="296"/>
      <c r="H383" s="296"/>
      <c r="I383" s="296"/>
      <c r="J383" s="296">
        <f t="shared" si="116"/>
        <v>300</v>
      </c>
      <c r="K383" s="296">
        <f t="shared" si="116"/>
        <v>81</v>
      </c>
      <c r="L383" s="296">
        <f t="shared" si="116"/>
        <v>381</v>
      </c>
      <c r="M383" s="296">
        <v>300</v>
      </c>
      <c r="N383" s="296">
        <v>81</v>
      </c>
      <c r="O383" s="296">
        <f t="shared" si="117"/>
        <v>381</v>
      </c>
      <c r="P383" s="296">
        <f t="shared" si="112"/>
        <v>0</v>
      </c>
      <c r="Q383" s="296">
        <f t="shared" si="112"/>
        <v>0</v>
      </c>
      <c r="R383" s="296">
        <f t="shared" si="112"/>
        <v>0</v>
      </c>
      <c r="S383" s="296">
        <v>300</v>
      </c>
      <c r="T383" s="296">
        <v>81</v>
      </c>
      <c r="U383" s="296">
        <f>SUM(S383:T383)</f>
        <v>381</v>
      </c>
      <c r="V383" s="296"/>
      <c r="W383" s="296"/>
      <c r="X383" s="296"/>
      <c r="Y383" s="296">
        <v>300</v>
      </c>
      <c r="Z383" s="296">
        <v>81</v>
      </c>
      <c r="AA383" s="296">
        <v>381</v>
      </c>
      <c r="AB383" s="296">
        <f t="shared" si="107"/>
        <v>0</v>
      </c>
      <c r="AC383" s="296">
        <f t="shared" si="107"/>
        <v>0</v>
      </c>
      <c r="AD383" s="296">
        <f t="shared" si="107"/>
        <v>0</v>
      </c>
      <c r="AE383" s="296">
        <v>300</v>
      </c>
      <c r="AF383" s="296">
        <v>81</v>
      </c>
      <c r="AG383" s="296">
        <f t="shared" ref="AG383:AG393" si="118">SUM(AE383:AF383)</f>
        <v>381</v>
      </c>
      <c r="AH383" s="299"/>
      <c r="AI383" s="296"/>
      <c r="AJ383" s="296"/>
      <c r="AK383" s="296"/>
      <c r="AL383" s="296"/>
      <c r="AM383" s="296"/>
      <c r="AN383" s="296"/>
      <c r="AO383" s="296"/>
      <c r="AP383" s="296"/>
      <c r="AQ383" s="296"/>
      <c r="AR383" s="296"/>
      <c r="AS383" s="296"/>
      <c r="AT383" s="296"/>
      <c r="AU383" s="296"/>
      <c r="AV383" s="296"/>
      <c r="AW383" s="296"/>
      <c r="AX383" s="296"/>
      <c r="AY383" s="296"/>
      <c r="AZ383" s="296"/>
      <c r="BA383" s="296"/>
      <c r="BB383" s="296"/>
      <c r="BC383" s="499"/>
      <c r="BD383" s="499"/>
      <c r="BE383" s="499"/>
      <c r="BF383" s="296"/>
      <c r="BG383" s="296"/>
      <c r="BH383" s="296"/>
      <c r="BI383" s="723"/>
      <c r="BJ383" s="725"/>
      <c r="BK383" s="723"/>
      <c r="BL383" s="725"/>
      <c r="BM383" s="723"/>
      <c r="BN383" s="723"/>
      <c r="BO383" s="723"/>
      <c r="BP383" s="516"/>
      <c r="BQ383" s="723"/>
      <c r="BR383" s="723"/>
      <c r="BS383" s="725"/>
      <c r="BT383" s="723"/>
      <c r="BU383" s="723"/>
      <c r="BV383" s="723"/>
      <c r="BW383" s="723"/>
      <c r="BX383" s="723"/>
      <c r="BY383" s="516"/>
      <c r="BZ383" s="723"/>
      <c r="CA383" s="723"/>
      <c r="CB383" s="516">
        <v>300000</v>
      </c>
      <c r="CC383" s="297">
        <v>381</v>
      </c>
      <c r="CD383" s="723"/>
    </row>
    <row r="384" spans="1:82" ht="22.5" x14ac:dyDescent="0.2">
      <c r="A384" s="703"/>
      <c r="B384" s="292" t="s">
        <v>1429</v>
      </c>
      <c r="C384" s="293" t="s">
        <v>1002</v>
      </c>
      <c r="D384" s="314"/>
      <c r="E384" s="703"/>
      <c r="F384" s="294" t="s">
        <v>1003</v>
      </c>
      <c r="G384" s="296"/>
      <c r="H384" s="296"/>
      <c r="I384" s="296"/>
      <c r="J384" s="296">
        <f t="shared" si="116"/>
        <v>30</v>
      </c>
      <c r="K384" s="296">
        <f t="shared" si="116"/>
        <v>8</v>
      </c>
      <c r="L384" s="296">
        <f t="shared" si="116"/>
        <v>38</v>
      </c>
      <c r="M384" s="296">
        <v>30</v>
      </c>
      <c r="N384" s="296">
        <v>8</v>
      </c>
      <c r="O384" s="296">
        <f t="shared" si="117"/>
        <v>38</v>
      </c>
      <c r="P384" s="296">
        <f t="shared" si="112"/>
        <v>0</v>
      </c>
      <c r="Q384" s="296">
        <f t="shared" si="112"/>
        <v>0</v>
      </c>
      <c r="R384" s="296">
        <f t="shared" si="112"/>
        <v>0</v>
      </c>
      <c r="S384" s="296">
        <v>30</v>
      </c>
      <c r="T384" s="296">
        <v>8</v>
      </c>
      <c r="U384" s="296">
        <f>SUM(S384:T384)</f>
        <v>38</v>
      </c>
      <c r="V384" s="296"/>
      <c r="W384" s="296"/>
      <c r="X384" s="296"/>
      <c r="Y384" s="296">
        <v>30</v>
      </c>
      <c r="Z384" s="296">
        <v>8</v>
      </c>
      <c r="AA384" s="296">
        <v>38</v>
      </c>
      <c r="AB384" s="296">
        <f t="shared" si="107"/>
        <v>0</v>
      </c>
      <c r="AC384" s="296">
        <f t="shared" si="107"/>
        <v>0</v>
      </c>
      <c r="AD384" s="296">
        <f t="shared" si="107"/>
        <v>0</v>
      </c>
      <c r="AE384" s="296">
        <v>30</v>
      </c>
      <c r="AF384" s="296">
        <v>8</v>
      </c>
      <c r="AG384" s="296">
        <f t="shared" si="118"/>
        <v>38</v>
      </c>
      <c r="AH384" s="299"/>
      <c r="AI384" s="296"/>
      <c r="AJ384" s="296"/>
      <c r="AK384" s="296"/>
      <c r="AL384" s="296"/>
      <c r="AM384" s="296"/>
      <c r="AN384" s="296"/>
      <c r="AO384" s="296"/>
      <c r="AP384" s="296"/>
      <c r="AQ384" s="296"/>
      <c r="AR384" s="296"/>
      <c r="AS384" s="296"/>
      <c r="AT384" s="296"/>
      <c r="AU384" s="296"/>
      <c r="AV384" s="296"/>
      <c r="AW384" s="296"/>
      <c r="AX384" s="296"/>
      <c r="AY384" s="296"/>
      <c r="AZ384" s="296"/>
      <c r="BA384" s="296"/>
      <c r="BB384" s="296"/>
      <c r="BC384" s="499"/>
      <c r="BD384" s="499"/>
      <c r="BE384" s="499"/>
      <c r="BF384" s="296"/>
      <c r="BG384" s="296"/>
      <c r="BH384" s="296"/>
      <c r="BI384" s="723"/>
      <c r="BJ384" s="725"/>
      <c r="BK384" s="723"/>
      <c r="BL384" s="725"/>
      <c r="BM384" s="723"/>
      <c r="BN384" s="723"/>
      <c r="BO384" s="723"/>
      <c r="BP384" s="516"/>
      <c r="BQ384" s="723"/>
      <c r="BR384" s="723"/>
      <c r="BS384" s="725"/>
      <c r="BT384" s="723"/>
      <c r="BU384" s="723"/>
      <c r="BV384" s="723"/>
      <c r="BW384" s="723"/>
      <c r="BX384" s="723"/>
      <c r="BY384" s="516"/>
      <c r="BZ384" s="723"/>
      <c r="CA384" s="723"/>
      <c r="CB384" s="516">
        <v>30000</v>
      </c>
      <c r="CC384" s="297">
        <v>38</v>
      </c>
      <c r="CD384" s="723"/>
    </row>
    <row r="385" spans="1:82" x14ac:dyDescent="0.2">
      <c r="A385" s="703"/>
      <c r="B385" s="292" t="s">
        <v>1429</v>
      </c>
      <c r="C385" s="293" t="s">
        <v>1249</v>
      </c>
      <c r="D385" s="314"/>
      <c r="E385" s="703"/>
      <c r="F385" s="294" t="s">
        <v>1114</v>
      </c>
      <c r="G385" s="296"/>
      <c r="H385" s="296"/>
      <c r="I385" s="296"/>
      <c r="J385" s="296">
        <f t="shared" si="116"/>
        <v>80</v>
      </c>
      <c r="K385" s="296">
        <f t="shared" si="116"/>
        <v>0</v>
      </c>
      <c r="L385" s="296">
        <f t="shared" si="116"/>
        <v>80</v>
      </c>
      <c r="M385" s="296">
        <v>80</v>
      </c>
      <c r="N385" s="296">
        <v>0</v>
      </c>
      <c r="O385" s="296">
        <f t="shared" si="117"/>
        <v>80</v>
      </c>
      <c r="P385" s="296">
        <f t="shared" si="112"/>
        <v>0</v>
      </c>
      <c r="Q385" s="296">
        <f t="shared" si="112"/>
        <v>0</v>
      </c>
      <c r="R385" s="296">
        <f t="shared" si="112"/>
        <v>0</v>
      </c>
      <c r="S385" s="296">
        <v>80</v>
      </c>
      <c r="T385" s="296">
        <v>0</v>
      </c>
      <c r="U385" s="296">
        <f t="shared" ref="U385:U392" si="119">SUM(S385:T385)</f>
        <v>80</v>
      </c>
      <c r="V385" s="296"/>
      <c r="W385" s="296"/>
      <c r="X385" s="296"/>
      <c r="Y385" s="296">
        <v>80</v>
      </c>
      <c r="Z385" s="296">
        <v>0</v>
      </c>
      <c r="AA385" s="296">
        <v>80</v>
      </c>
      <c r="AB385" s="296">
        <f t="shared" si="107"/>
        <v>0</v>
      </c>
      <c r="AC385" s="296">
        <f t="shared" si="107"/>
        <v>0</v>
      </c>
      <c r="AD385" s="296">
        <f t="shared" si="107"/>
        <v>0</v>
      </c>
      <c r="AE385" s="296">
        <v>80</v>
      </c>
      <c r="AF385" s="296">
        <v>0</v>
      </c>
      <c r="AG385" s="296">
        <f t="shared" si="118"/>
        <v>80</v>
      </c>
      <c r="AH385" s="299"/>
      <c r="AI385" s="296"/>
      <c r="AJ385" s="296"/>
      <c r="AK385" s="296"/>
      <c r="AL385" s="296"/>
      <c r="AM385" s="296"/>
      <c r="AN385" s="296"/>
      <c r="AO385" s="296"/>
      <c r="AP385" s="296"/>
      <c r="AQ385" s="296"/>
      <c r="AR385" s="296"/>
      <c r="AS385" s="296"/>
      <c r="AT385" s="296"/>
      <c r="AU385" s="296"/>
      <c r="AV385" s="296"/>
      <c r="AW385" s="296"/>
      <c r="AX385" s="296"/>
      <c r="AY385" s="296"/>
      <c r="AZ385" s="296"/>
      <c r="BA385" s="296"/>
      <c r="BB385" s="296"/>
      <c r="BC385" s="499"/>
      <c r="BD385" s="499"/>
      <c r="BE385" s="499"/>
      <c r="BF385" s="296"/>
      <c r="BG385" s="296"/>
      <c r="BH385" s="296"/>
      <c r="BI385" s="723"/>
      <c r="BJ385" s="725"/>
      <c r="BK385" s="723"/>
      <c r="BL385" s="725"/>
      <c r="BM385" s="723"/>
      <c r="BN385" s="723"/>
      <c r="BO385" s="723"/>
      <c r="BP385" s="516"/>
      <c r="BQ385" s="723"/>
      <c r="BR385" s="723"/>
      <c r="BS385" s="725"/>
      <c r="BT385" s="723"/>
      <c r="BU385" s="723"/>
      <c r="BV385" s="723"/>
      <c r="BW385" s="723"/>
      <c r="BX385" s="723"/>
      <c r="BY385" s="516"/>
      <c r="BZ385" s="723"/>
      <c r="CA385" s="723"/>
      <c r="CB385" s="516">
        <v>80000</v>
      </c>
      <c r="CC385" s="297">
        <v>80</v>
      </c>
      <c r="CD385" s="723"/>
    </row>
    <row r="386" spans="1:82" ht="22.5" x14ac:dyDescent="0.2">
      <c r="A386" s="703"/>
      <c r="B386" s="292" t="s">
        <v>1429</v>
      </c>
      <c r="C386" s="347" t="s">
        <v>1250</v>
      </c>
      <c r="D386" s="348"/>
      <c r="E386" s="703"/>
      <c r="F386" s="349" t="s">
        <v>1112</v>
      </c>
      <c r="G386" s="498"/>
      <c r="H386" s="498"/>
      <c r="I386" s="498"/>
      <c r="J386" s="498">
        <f t="shared" si="116"/>
        <v>80</v>
      </c>
      <c r="K386" s="498">
        <f t="shared" si="116"/>
        <v>0</v>
      </c>
      <c r="L386" s="498">
        <f t="shared" si="116"/>
        <v>80</v>
      </c>
      <c r="M386" s="498">
        <v>80</v>
      </c>
      <c r="N386" s="498">
        <v>0</v>
      </c>
      <c r="O386" s="498">
        <f t="shared" si="117"/>
        <v>80</v>
      </c>
      <c r="P386" s="498">
        <f t="shared" ref="P386:R402" si="120">S386-M386</f>
        <v>0</v>
      </c>
      <c r="Q386" s="498">
        <f t="shared" si="120"/>
        <v>0</v>
      </c>
      <c r="R386" s="498">
        <f t="shared" si="120"/>
        <v>0</v>
      </c>
      <c r="S386" s="498">
        <v>80</v>
      </c>
      <c r="T386" s="498">
        <v>0</v>
      </c>
      <c r="U386" s="498">
        <f t="shared" si="119"/>
        <v>80</v>
      </c>
      <c r="V386" s="498"/>
      <c r="W386" s="498"/>
      <c r="X386" s="498"/>
      <c r="Y386" s="498">
        <v>80</v>
      </c>
      <c r="Z386" s="498">
        <v>0</v>
      </c>
      <c r="AA386" s="498">
        <v>80</v>
      </c>
      <c r="AB386" s="498">
        <f t="shared" si="107"/>
        <v>0</v>
      </c>
      <c r="AC386" s="498">
        <f t="shared" si="107"/>
        <v>0</v>
      </c>
      <c r="AD386" s="498">
        <f t="shared" si="107"/>
        <v>0</v>
      </c>
      <c r="AE386" s="498">
        <v>80</v>
      </c>
      <c r="AF386" s="498">
        <v>0</v>
      </c>
      <c r="AG386" s="296">
        <f t="shared" si="118"/>
        <v>80</v>
      </c>
      <c r="AH386" s="350"/>
      <c r="AI386" s="498"/>
      <c r="AJ386" s="498"/>
      <c r="AK386" s="498"/>
      <c r="AL386" s="498"/>
      <c r="AM386" s="498"/>
      <c r="AN386" s="498"/>
      <c r="AO386" s="498"/>
      <c r="AP386" s="498"/>
      <c r="AQ386" s="498"/>
      <c r="AR386" s="498"/>
      <c r="AS386" s="498"/>
      <c r="AT386" s="498"/>
      <c r="AU386" s="498"/>
      <c r="AV386" s="498"/>
      <c r="AW386" s="498"/>
      <c r="AX386" s="498"/>
      <c r="AY386" s="498"/>
      <c r="AZ386" s="498"/>
      <c r="BA386" s="498"/>
      <c r="BB386" s="498"/>
      <c r="BC386" s="499"/>
      <c r="BD386" s="499"/>
      <c r="BE386" s="499"/>
      <c r="BF386" s="498"/>
      <c r="BG386" s="498"/>
      <c r="BH386" s="498"/>
      <c r="BI386" s="723"/>
      <c r="BJ386" s="725"/>
      <c r="BK386" s="723"/>
      <c r="BL386" s="725"/>
      <c r="BM386" s="723"/>
      <c r="BN386" s="723"/>
      <c r="BO386" s="723"/>
      <c r="BP386" s="516"/>
      <c r="BQ386" s="723"/>
      <c r="BR386" s="723"/>
      <c r="BS386" s="725"/>
      <c r="BT386" s="723"/>
      <c r="BU386" s="723"/>
      <c r="BV386" s="723"/>
      <c r="BW386" s="723"/>
      <c r="BX386" s="723"/>
      <c r="BY386" s="516"/>
      <c r="BZ386" s="723"/>
      <c r="CA386" s="723"/>
      <c r="CB386" s="516">
        <v>80000</v>
      </c>
      <c r="CC386" s="297">
        <v>80</v>
      </c>
      <c r="CD386" s="723"/>
    </row>
    <row r="387" spans="1:82" s="555" customFormat="1" ht="22.5" x14ac:dyDescent="0.2">
      <c r="A387" s="703"/>
      <c r="B387" s="351" t="s">
        <v>1381</v>
      </c>
      <c r="C387" s="352" t="s">
        <v>1589</v>
      </c>
      <c r="D387" s="353"/>
      <c r="E387" s="703"/>
      <c r="F387" s="354" t="s">
        <v>1115</v>
      </c>
      <c r="G387" s="346"/>
      <c r="H387" s="346"/>
      <c r="I387" s="346"/>
      <c r="J387" s="346">
        <f t="shared" si="116"/>
        <v>50</v>
      </c>
      <c r="K387" s="346">
        <f t="shared" si="116"/>
        <v>0</v>
      </c>
      <c r="L387" s="346">
        <f t="shared" si="116"/>
        <v>50</v>
      </c>
      <c r="M387" s="346">
        <v>50</v>
      </c>
      <c r="N387" s="346">
        <v>0</v>
      </c>
      <c r="O387" s="346">
        <f t="shared" si="117"/>
        <v>50</v>
      </c>
      <c r="P387" s="296">
        <f t="shared" si="120"/>
        <v>0</v>
      </c>
      <c r="Q387" s="296">
        <f t="shared" si="120"/>
        <v>0</v>
      </c>
      <c r="R387" s="296">
        <f t="shared" si="120"/>
        <v>0</v>
      </c>
      <c r="S387" s="296">
        <v>50</v>
      </c>
      <c r="T387" s="296">
        <v>0</v>
      </c>
      <c r="U387" s="296">
        <f t="shared" si="119"/>
        <v>50</v>
      </c>
      <c r="V387" s="296"/>
      <c r="W387" s="296"/>
      <c r="X387" s="296"/>
      <c r="Y387" s="296">
        <v>50</v>
      </c>
      <c r="Z387" s="296">
        <v>0</v>
      </c>
      <c r="AA387" s="296">
        <v>50</v>
      </c>
      <c r="AB387" s="296">
        <f t="shared" si="107"/>
        <v>0</v>
      </c>
      <c r="AC387" s="296">
        <f t="shared" si="107"/>
        <v>0</v>
      </c>
      <c r="AD387" s="296">
        <f t="shared" si="107"/>
        <v>0</v>
      </c>
      <c r="AE387" s="296">
        <v>50</v>
      </c>
      <c r="AF387" s="296">
        <v>0</v>
      </c>
      <c r="AG387" s="296">
        <f t="shared" si="118"/>
        <v>50</v>
      </c>
      <c r="AH387" s="299"/>
      <c r="AI387" s="296"/>
      <c r="AJ387" s="296"/>
      <c r="AK387" s="296"/>
      <c r="AL387" s="554"/>
      <c r="AM387" s="554"/>
      <c r="AN387" s="554"/>
      <c r="AO387" s="554"/>
      <c r="AP387" s="554"/>
      <c r="AQ387" s="554"/>
      <c r="AR387" s="554"/>
      <c r="AS387" s="554"/>
      <c r="AT387" s="554"/>
      <c r="AU387" s="554"/>
      <c r="AV387" s="554"/>
      <c r="AW387" s="554"/>
      <c r="AX387" s="554"/>
      <c r="AY387" s="554"/>
      <c r="AZ387" s="554"/>
      <c r="BA387" s="554"/>
      <c r="BB387" s="554"/>
      <c r="BC387" s="499"/>
      <c r="BD387" s="499"/>
      <c r="BE387" s="499"/>
      <c r="BF387" s="554"/>
      <c r="BG387" s="554"/>
      <c r="BH387" s="554"/>
      <c r="BI387" s="723"/>
      <c r="BJ387" s="725"/>
      <c r="BK387" s="723"/>
      <c r="BL387" s="725"/>
      <c r="BM387" s="723"/>
      <c r="BN387" s="723"/>
      <c r="BO387" s="723"/>
      <c r="BP387" s="554"/>
      <c r="BQ387" s="723"/>
      <c r="BR387" s="723"/>
      <c r="BS387" s="725"/>
      <c r="BT387" s="723"/>
      <c r="BU387" s="723"/>
      <c r="BV387" s="723"/>
      <c r="BW387" s="723"/>
      <c r="BX387" s="723"/>
      <c r="BY387" s="554"/>
      <c r="BZ387" s="723"/>
      <c r="CA387" s="723"/>
      <c r="CB387" s="516">
        <v>50000</v>
      </c>
      <c r="CC387" s="297">
        <v>50</v>
      </c>
      <c r="CD387" s="723"/>
    </row>
    <row r="388" spans="1:82" ht="22.5" x14ac:dyDescent="0.2">
      <c r="A388" s="703"/>
      <c r="B388" s="292" t="s">
        <v>1429</v>
      </c>
      <c r="C388" s="305" t="s">
        <v>1251</v>
      </c>
      <c r="D388" s="306"/>
      <c r="E388" s="703"/>
      <c r="F388" s="355" t="s">
        <v>1252</v>
      </c>
      <c r="G388" s="307"/>
      <c r="H388" s="307"/>
      <c r="I388" s="307"/>
      <c r="J388" s="307"/>
      <c r="K388" s="307"/>
      <c r="L388" s="307"/>
      <c r="M388" s="307"/>
      <c r="N388" s="307"/>
      <c r="O388" s="307"/>
      <c r="P388" s="307">
        <f t="shared" si="120"/>
        <v>2200</v>
      </c>
      <c r="Q388" s="307">
        <f t="shared" si="120"/>
        <v>594</v>
      </c>
      <c r="R388" s="307">
        <f t="shared" si="120"/>
        <v>2794</v>
      </c>
      <c r="S388" s="307">
        <v>2200</v>
      </c>
      <c r="T388" s="307">
        <v>594</v>
      </c>
      <c r="U388" s="307">
        <f t="shared" si="119"/>
        <v>2794</v>
      </c>
      <c r="V388" s="307"/>
      <c r="W388" s="307"/>
      <c r="X388" s="307"/>
      <c r="Y388" s="307">
        <v>2200</v>
      </c>
      <c r="Z388" s="307">
        <v>594</v>
      </c>
      <c r="AA388" s="307">
        <v>2794</v>
      </c>
      <c r="AB388" s="307">
        <f t="shared" si="107"/>
        <v>0</v>
      </c>
      <c r="AC388" s="307">
        <f t="shared" si="107"/>
        <v>0</v>
      </c>
      <c r="AD388" s="307">
        <f t="shared" si="107"/>
        <v>0</v>
      </c>
      <c r="AE388" s="307">
        <v>2200</v>
      </c>
      <c r="AF388" s="307">
        <v>594</v>
      </c>
      <c r="AG388" s="296">
        <f t="shared" si="118"/>
        <v>2794</v>
      </c>
      <c r="AH388" s="308"/>
      <c r="AI388" s="307"/>
      <c r="AJ388" s="307"/>
      <c r="AK388" s="307"/>
      <c r="AL388" s="307"/>
      <c r="AM388" s="307"/>
      <c r="AN388" s="307"/>
      <c r="AO388" s="307"/>
      <c r="AP388" s="307"/>
      <c r="AQ388" s="307"/>
      <c r="AR388" s="307"/>
      <c r="AS388" s="307"/>
      <c r="AT388" s="307"/>
      <c r="AU388" s="307"/>
      <c r="AV388" s="307"/>
      <c r="AW388" s="307"/>
      <c r="AX388" s="307"/>
      <c r="AY388" s="307"/>
      <c r="AZ388" s="307"/>
      <c r="BA388" s="307"/>
      <c r="BB388" s="307"/>
      <c r="BC388" s="499"/>
      <c r="BD388" s="499"/>
      <c r="BE388" s="499"/>
      <c r="BF388" s="307"/>
      <c r="BG388" s="307"/>
      <c r="BH388" s="307"/>
      <c r="BI388" s="723"/>
      <c r="BJ388" s="725"/>
      <c r="BK388" s="723"/>
      <c r="BL388" s="725"/>
      <c r="BM388" s="723"/>
      <c r="BN388" s="723"/>
      <c r="BO388" s="723"/>
      <c r="BP388" s="516"/>
      <c r="BQ388" s="723"/>
      <c r="BR388" s="723"/>
      <c r="BS388" s="725"/>
      <c r="BT388" s="723"/>
      <c r="BU388" s="723"/>
      <c r="BV388" s="723"/>
      <c r="BW388" s="723"/>
      <c r="BX388" s="723"/>
      <c r="BY388" s="516"/>
      <c r="BZ388" s="723"/>
      <c r="CA388" s="723"/>
      <c r="CB388" s="516">
        <v>2200000</v>
      </c>
      <c r="CC388" s="297">
        <v>2794</v>
      </c>
      <c r="CD388" s="723"/>
    </row>
    <row r="389" spans="1:82" ht="33.75" x14ac:dyDescent="0.2">
      <c r="A389" s="703"/>
      <c r="B389" s="322" t="s">
        <v>1590</v>
      </c>
      <c r="C389" s="305" t="s">
        <v>1253</v>
      </c>
      <c r="D389" s="306" t="s">
        <v>807</v>
      </c>
      <c r="E389" s="703"/>
      <c r="F389" s="355" t="s">
        <v>1254</v>
      </c>
      <c r="G389" s="307"/>
      <c r="H389" s="307"/>
      <c r="I389" s="307"/>
      <c r="J389" s="307"/>
      <c r="K389" s="307"/>
      <c r="L389" s="307"/>
      <c r="M389" s="307"/>
      <c r="N389" s="307"/>
      <c r="O389" s="307"/>
      <c r="P389" s="307">
        <f t="shared" si="120"/>
        <v>9</v>
      </c>
      <c r="Q389" s="307"/>
      <c r="R389" s="307">
        <f t="shared" si="120"/>
        <v>9</v>
      </c>
      <c r="S389" s="307">
        <v>9</v>
      </c>
      <c r="T389" s="307"/>
      <c r="U389" s="307">
        <f t="shared" si="119"/>
        <v>9</v>
      </c>
      <c r="V389" s="307"/>
      <c r="W389" s="307"/>
      <c r="X389" s="307"/>
      <c r="Y389" s="307">
        <v>9</v>
      </c>
      <c r="Z389" s="307"/>
      <c r="AA389" s="307">
        <v>9</v>
      </c>
      <c r="AB389" s="307">
        <f t="shared" si="107"/>
        <v>-9</v>
      </c>
      <c r="AC389" s="307">
        <f t="shared" si="107"/>
        <v>0</v>
      </c>
      <c r="AD389" s="307">
        <f t="shared" si="107"/>
        <v>-9</v>
      </c>
      <c r="AE389" s="307">
        <v>0</v>
      </c>
      <c r="AF389" s="307">
        <v>0</v>
      </c>
      <c r="AG389" s="307">
        <f>SUM(AE389:AF389)</f>
        <v>0</v>
      </c>
      <c r="AH389" s="308"/>
      <c r="AI389" s="307"/>
      <c r="AJ389" s="307"/>
      <c r="AK389" s="307"/>
      <c r="AL389" s="307"/>
      <c r="AM389" s="307"/>
      <c r="AN389" s="307"/>
      <c r="AO389" s="307"/>
      <c r="AP389" s="307"/>
      <c r="AQ389" s="307"/>
      <c r="AR389" s="307"/>
      <c r="AS389" s="307"/>
      <c r="AT389" s="307"/>
      <c r="AU389" s="307"/>
      <c r="AV389" s="307"/>
      <c r="AW389" s="307"/>
      <c r="AX389" s="307"/>
      <c r="AY389" s="307"/>
      <c r="AZ389" s="307"/>
      <c r="BA389" s="307"/>
      <c r="BB389" s="307"/>
      <c r="BC389" s="499"/>
      <c r="BD389" s="499"/>
      <c r="BE389" s="499"/>
      <c r="BF389" s="307"/>
      <c r="BG389" s="307"/>
      <c r="BH389" s="307"/>
      <c r="BI389" s="723"/>
      <c r="BJ389" s="725"/>
      <c r="BK389" s="723"/>
      <c r="BL389" s="725"/>
      <c r="BM389" s="723"/>
      <c r="BN389" s="723"/>
      <c r="BO389" s="723"/>
      <c r="BP389" s="516"/>
      <c r="BQ389" s="723"/>
      <c r="BR389" s="723"/>
      <c r="BS389" s="725"/>
      <c r="BT389" s="723"/>
      <c r="BU389" s="723"/>
      <c r="BV389" s="723"/>
      <c r="BW389" s="723"/>
      <c r="BX389" s="723"/>
      <c r="BY389" s="516"/>
      <c r="BZ389" s="723"/>
      <c r="CA389" s="723"/>
      <c r="CB389" s="516"/>
      <c r="CC389" s="297">
        <v>0</v>
      </c>
      <c r="CD389" s="723"/>
    </row>
    <row r="390" spans="1:82" ht="33.75" x14ac:dyDescent="0.2">
      <c r="A390" s="703"/>
      <c r="B390" s="292" t="s">
        <v>1429</v>
      </c>
      <c r="C390" s="305" t="s">
        <v>1255</v>
      </c>
      <c r="D390" s="306" t="s">
        <v>807</v>
      </c>
      <c r="E390" s="703"/>
      <c r="F390" s="355" t="s">
        <v>1256</v>
      </c>
      <c r="G390" s="307"/>
      <c r="H390" s="307"/>
      <c r="I390" s="307"/>
      <c r="J390" s="307"/>
      <c r="K390" s="307"/>
      <c r="L390" s="307"/>
      <c r="M390" s="307"/>
      <c r="N390" s="307"/>
      <c r="O390" s="307"/>
      <c r="P390" s="307">
        <f t="shared" si="120"/>
        <v>14</v>
      </c>
      <c r="Q390" s="307"/>
      <c r="R390" s="307">
        <f t="shared" si="120"/>
        <v>14</v>
      </c>
      <c r="S390" s="307">
        <v>14</v>
      </c>
      <c r="T390" s="307"/>
      <c r="U390" s="307">
        <f t="shared" si="119"/>
        <v>14</v>
      </c>
      <c r="V390" s="307"/>
      <c r="W390" s="307"/>
      <c r="X390" s="307"/>
      <c r="Y390" s="307">
        <v>14</v>
      </c>
      <c r="Z390" s="307"/>
      <c r="AA390" s="307">
        <v>14</v>
      </c>
      <c r="AB390" s="307">
        <f t="shared" si="107"/>
        <v>0</v>
      </c>
      <c r="AC390" s="307">
        <f t="shared" si="107"/>
        <v>0</v>
      </c>
      <c r="AD390" s="307">
        <f t="shared" si="107"/>
        <v>0</v>
      </c>
      <c r="AE390" s="307">
        <v>14</v>
      </c>
      <c r="AF390" s="307">
        <v>0</v>
      </c>
      <c r="AG390" s="296">
        <f t="shared" si="118"/>
        <v>14</v>
      </c>
      <c r="AH390" s="308"/>
      <c r="AI390" s="307"/>
      <c r="AJ390" s="307"/>
      <c r="AK390" s="307"/>
      <c r="AL390" s="307"/>
      <c r="AM390" s="307"/>
      <c r="AN390" s="307"/>
      <c r="AO390" s="307"/>
      <c r="AP390" s="307"/>
      <c r="AQ390" s="307"/>
      <c r="AR390" s="307"/>
      <c r="AS390" s="307"/>
      <c r="AT390" s="307"/>
      <c r="AU390" s="307"/>
      <c r="AV390" s="307"/>
      <c r="AW390" s="307"/>
      <c r="AX390" s="307"/>
      <c r="AY390" s="307"/>
      <c r="AZ390" s="307"/>
      <c r="BA390" s="307"/>
      <c r="BB390" s="307"/>
      <c r="BC390" s="499"/>
      <c r="BD390" s="499"/>
      <c r="BE390" s="499"/>
      <c r="BF390" s="307"/>
      <c r="BG390" s="307"/>
      <c r="BH390" s="307"/>
      <c r="BI390" s="723"/>
      <c r="BJ390" s="725"/>
      <c r="BK390" s="723"/>
      <c r="BL390" s="725"/>
      <c r="BM390" s="723"/>
      <c r="BN390" s="723"/>
      <c r="BO390" s="723"/>
      <c r="BP390" s="516"/>
      <c r="BQ390" s="723"/>
      <c r="BR390" s="723"/>
      <c r="BS390" s="725"/>
      <c r="BT390" s="723"/>
      <c r="BU390" s="723"/>
      <c r="BV390" s="723"/>
      <c r="BW390" s="723"/>
      <c r="BX390" s="723"/>
      <c r="BY390" s="516"/>
      <c r="BZ390" s="723"/>
      <c r="CA390" s="723"/>
      <c r="CB390" s="516">
        <v>14000</v>
      </c>
      <c r="CC390" s="297">
        <v>14</v>
      </c>
      <c r="CD390" s="723"/>
    </row>
    <row r="391" spans="1:82" ht="22.5" x14ac:dyDescent="0.2">
      <c r="A391" s="703"/>
      <c r="B391" s="292" t="s">
        <v>1429</v>
      </c>
      <c r="C391" s="305" t="s">
        <v>1257</v>
      </c>
      <c r="D391" s="306" t="s">
        <v>807</v>
      </c>
      <c r="E391" s="703"/>
      <c r="F391" s="355" t="s">
        <v>1258</v>
      </c>
      <c r="G391" s="307"/>
      <c r="H391" s="307"/>
      <c r="I391" s="307"/>
      <c r="J391" s="307"/>
      <c r="K391" s="307"/>
      <c r="L391" s="307"/>
      <c r="M391" s="307"/>
      <c r="N391" s="307"/>
      <c r="O391" s="307"/>
      <c r="P391" s="307">
        <f t="shared" si="120"/>
        <v>11</v>
      </c>
      <c r="Q391" s="307"/>
      <c r="R391" s="307">
        <f t="shared" si="120"/>
        <v>11</v>
      </c>
      <c r="S391" s="307">
        <v>11</v>
      </c>
      <c r="T391" s="307"/>
      <c r="U391" s="307">
        <f t="shared" si="119"/>
        <v>11</v>
      </c>
      <c r="V391" s="307"/>
      <c r="W391" s="307"/>
      <c r="X391" s="307"/>
      <c r="Y391" s="307">
        <v>11</v>
      </c>
      <c r="Z391" s="307"/>
      <c r="AA391" s="307">
        <v>11</v>
      </c>
      <c r="AB391" s="307">
        <f t="shared" si="107"/>
        <v>0</v>
      </c>
      <c r="AC391" s="307">
        <f t="shared" si="107"/>
        <v>0</v>
      </c>
      <c r="AD391" s="307">
        <f t="shared" si="107"/>
        <v>0</v>
      </c>
      <c r="AE391" s="307">
        <v>11</v>
      </c>
      <c r="AF391" s="307">
        <v>0</v>
      </c>
      <c r="AG391" s="296">
        <f t="shared" si="118"/>
        <v>11</v>
      </c>
      <c r="AH391" s="308"/>
      <c r="AI391" s="307"/>
      <c r="AJ391" s="307"/>
      <c r="AK391" s="307"/>
      <c r="AL391" s="307"/>
      <c r="AM391" s="307"/>
      <c r="AN391" s="307"/>
      <c r="AO391" s="307"/>
      <c r="AP391" s="307"/>
      <c r="AQ391" s="307"/>
      <c r="AR391" s="307"/>
      <c r="AS391" s="307"/>
      <c r="AT391" s="307"/>
      <c r="AU391" s="307"/>
      <c r="AV391" s="307"/>
      <c r="AW391" s="307"/>
      <c r="AX391" s="307"/>
      <c r="AY391" s="307"/>
      <c r="AZ391" s="307"/>
      <c r="BA391" s="307"/>
      <c r="BB391" s="307"/>
      <c r="BC391" s="499"/>
      <c r="BD391" s="499"/>
      <c r="BE391" s="499"/>
      <c r="BF391" s="307"/>
      <c r="BG391" s="307"/>
      <c r="BH391" s="307"/>
      <c r="BI391" s="723"/>
      <c r="BJ391" s="725"/>
      <c r="BK391" s="723"/>
      <c r="BL391" s="725"/>
      <c r="BM391" s="723"/>
      <c r="BN391" s="723"/>
      <c r="BO391" s="723"/>
      <c r="BP391" s="516"/>
      <c r="BQ391" s="723"/>
      <c r="BR391" s="723"/>
      <c r="BS391" s="725"/>
      <c r="BT391" s="723"/>
      <c r="BU391" s="723"/>
      <c r="BV391" s="723"/>
      <c r="BW391" s="723"/>
      <c r="BX391" s="723"/>
      <c r="BY391" s="516"/>
      <c r="BZ391" s="723"/>
      <c r="CA391" s="723"/>
      <c r="CB391" s="516">
        <v>11000</v>
      </c>
      <c r="CC391" s="297">
        <v>11</v>
      </c>
      <c r="CD391" s="723"/>
    </row>
    <row r="392" spans="1:82" ht="22.5" x14ac:dyDescent="0.2">
      <c r="A392" s="703"/>
      <c r="B392" s="292" t="s">
        <v>1429</v>
      </c>
      <c r="C392" s="305" t="s">
        <v>1591</v>
      </c>
      <c r="D392" s="306"/>
      <c r="E392" s="703"/>
      <c r="F392" s="355" t="s">
        <v>1259</v>
      </c>
      <c r="G392" s="307"/>
      <c r="H392" s="307"/>
      <c r="I392" s="307"/>
      <c r="J392" s="307"/>
      <c r="K392" s="307"/>
      <c r="L392" s="307"/>
      <c r="M392" s="307"/>
      <c r="N392" s="307"/>
      <c r="O392" s="307"/>
      <c r="P392" s="307">
        <f t="shared" si="120"/>
        <v>9</v>
      </c>
      <c r="Q392" s="307"/>
      <c r="R392" s="307">
        <f t="shared" si="120"/>
        <v>9</v>
      </c>
      <c r="S392" s="307">
        <v>9</v>
      </c>
      <c r="T392" s="307"/>
      <c r="U392" s="307">
        <f t="shared" si="119"/>
        <v>9</v>
      </c>
      <c r="V392" s="307"/>
      <c r="W392" s="307"/>
      <c r="X392" s="307"/>
      <c r="Y392" s="307">
        <v>9</v>
      </c>
      <c r="Z392" s="307"/>
      <c r="AA392" s="307">
        <v>9</v>
      </c>
      <c r="AB392" s="307">
        <f t="shared" si="107"/>
        <v>0</v>
      </c>
      <c r="AC392" s="307">
        <f t="shared" si="107"/>
        <v>0</v>
      </c>
      <c r="AD392" s="307">
        <f t="shared" si="107"/>
        <v>0</v>
      </c>
      <c r="AE392" s="307">
        <v>9</v>
      </c>
      <c r="AF392" s="307">
        <v>0</v>
      </c>
      <c r="AG392" s="296">
        <f t="shared" si="118"/>
        <v>9</v>
      </c>
      <c r="AH392" s="308"/>
      <c r="AI392" s="307"/>
      <c r="AJ392" s="307"/>
      <c r="AK392" s="307"/>
      <c r="AL392" s="307"/>
      <c r="AM392" s="307"/>
      <c r="AN392" s="307"/>
      <c r="AO392" s="307"/>
      <c r="AP392" s="307"/>
      <c r="AQ392" s="307"/>
      <c r="AR392" s="307"/>
      <c r="AS392" s="307"/>
      <c r="AT392" s="307"/>
      <c r="AU392" s="307"/>
      <c r="AV392" s="307"/>
      <c r="AW392" s="307"/>
      <c r="AX392" s="307"/>
      <c r="AY392" s="307"/>
      <c r="AZ392" s="307"/>
      <c r="BA392" s="307"/>
      <c r="BB392" s="307"/>
      <c r="BC392" s="499"/>
      <c r="BD392" s="499"/>
      <c r="BE392" s="499"/>
      <c r="BF392" s="307"/>
      <c r="BG392" s="307"/>
      <c r="BH392" s="307"/>
      <c r="BI392" s="723"/>
      <c r="BJ392" s="725"/>
      <c r="BK392" s="723"/>
      <c r="BL392" s="725"/>
      <c r="BM392" s="723"/>
      <c r="BN392" s="723"/>
      <c r="BO392" s="723"/>
      <c r="BP392" s="516"/>
      <c r="BQ392" s="723"/>
      <c r="BR392" s="723"/>
      <c r="BS392" s="725"/>
      <c r="BT392" s="723"/>
      <c r="BU392" s="723"/>
      <c r="BV392" s="723"/>
      <c r="BW392" s="723"/>
      <c r="BX392" s="723"/>
      <c r="BY392" s="516"/>
      <c r="BZ392" s="723"/>
      <c r="CA392" s="723"/>
      <c r="CB392" s="516">
        <v>8700</v>
      </c>
      <c r="CC392" s="297">
        <v>9</v>
      </c>
      <c r="CD392" s="723"/>
    </row>
    <row r="393" spans="1:82" x14ac:dyDescent="0.2">
      <c r="A393" s="703"/>
      <c r="B393" s="292" t="s">
        <v>1429</v>
      </c>
      <c r="C393" s="305" t="s">
        <v>1592</v>
      </c>
      <c r="D393" s="306"/>
      <c r="E393" s="703"/>
      <c r="F393" s="355" t="s">
        <v>1593</v>
      </c>
      <c r="G393" s="307"/>
      <c r="H393" s="307"/>
      <c r="I393" s="307"/>
      <c r="J393" s="307"/>
      <c r="K393" s="307"/>
      <c r="L393" s="307"/>
      <c r="M393" s="307"/>
      <c r="N393" s="307"/>
      <c r="O393" s="307"/>
      <c r="P393" s="307"/>
      <c r="Q393" s="307"/>
      <c r="R393" s="307"/>
      <c r="S393" s="307"/>
      <c r="T393" s="307"/>
      <c r="U393" s="307"/>
      <c r="V393" s="307"/>
      <c r="W393" s="307"/>
      <c r="X393" s="307"/>
      <c r="Y393" s="307"/>
      <c r="Z393" s="307"/>
      <c r="AA393" s="307"/>
      <c r="AB393" s="307">
        <f t="shared" si="107"/>
        <v>500</v>
      </c>
      <c r="AC393" s="307">
        <f t="shared" si="107"/>
        <v>135</v>
      </c>
      <c r="AD393" s="307">
        <f t="shared" si="107"/>
        <v>635</v>
      </c>
      <c r="AE393" s="307">
        <v>500</v>
      </c>
      <c r="AF393" s="307">
        <v>135</v>
      </c>
      <c r="AG393" s="296">
        <f t="shared" si="118"/>
        <v>635</v>
      </c>
      <c r="AH393" s="308"/>
      <c r="AI393" s="307"/>
      <c r="AJ393" s="307"/>
      <c r="AK393" s="307"/>
      <c r="AL393" s="307"/>
      <c r="AM393" s="307"/>
      <c r="AN393" s="307"/>
      <c r="AO393" s="307"/>
      <c r="AP393" s="307"/>
      <c r="AQ393" s="307"/>
      <c r="AR393" s="307"/>
      <c r="AS393" s="307"/>
      <c r="AT393" s="307"/>
      <c r="AU393" s="307"/>
      <c r="AV393" s="307"/>
      <c r="AW393" s="307"/>
      <c r="AX393" s="307"/>
      <c r="AY393" s="307"/>
      <c r="AZ393" s="307"/>
      <c r="BA393" s="307"/>
      <c r="BB393" s="307"/>
      <c r="BC393" s="499"/>
      <c r="BD393" s="499"/>
      <c r="BE393" s="499"/>
      <c r="BF393" s="307"/>
      <c r="BG393" s="307"/>
      <c r="BH393" s="307"/>
      <c r="BI393" s="723"/>
      <c r="BJ393" s="509"/>
      <c r="BK393" s="723"/>
      <c r="BL393" s="509"/>
      <c r="BM393" s="723"/>
      <c r="BN393" s="723"/>
      <c r="BO393" s="723"/>
      <c r="BP393" s="509"/>
      <c r="BQ393" s="723"/>
      <c r="BR393" s="723"/>
      <c r="BS393" s="509"/>
      <c r="BT393" s="723"/>
      <c r="BU393" s="723"/>
      <c r="BV393" s="723"/>
      <c r="BW393" s="723"/>
      <c r="BX393" s="723"/>
      <c r="BY393" s="516"/>
      <c r="BZ393" s="723"/>
      <c r="CA393" s="723"/>
      <c r="CB393" s="516">
        <v>500000</v>
      </c>
      <c r="CC393" s="297">
        <v>635</v>
      </c>
      <c r="CD393" s="723"/>
    </row>
    <row r="394" spans="1:82" ht="22.5" x14ac:dyDescent="0.2">
      <c r="A394" s="703"/>
      <c r="B394" s="292" t="s">
        <v>1429</v>
      </c>
      <c r="C394" s="305" t="s">
        <v>1594</v>
      </c>
      <c r="D394" s="306"/>
      <c r="E394" s="703"/>
      <c r="F394" s="355" t="s">
        <v>1595</v>
      </c>
      <c r="G394" s="307"/>
      <c r="H394" s="307"/>
      <c r="I394" s="307"/>
      <c r="J394" s="307"/>
      <c r="K394" s="307"/>
      <c r="L394" s="307"/>
      <c r="M394" s="307"/>
      <c r="N394" s="307"/>
      <c r="O394" s="307"/>
      <c r="P394" s="307">
        <f t="shared" ref="P394" si="121">S394-M394</f>
        <v>127000</v>
      </c>
      <c r="Q394" s="307"/>
      <c r="R394" s="307">
        <f t="shared" ref="R394" si="122">U394-O394</f>
        <v>127000</v>
      </c>
      <c r="S394" s="307">
        <v>127000</v>
      </c>
      <c r="T394" s="307"/>
      <c r="U394" s="307">
        <f t="shared" ref="U394" si="123">SUM(S394:T394)</f>
        <v>127000</v>
      </c>
      <c r="V394" s="307"/>
      <c r="W394" s="307"/>
      <c r="X394" s="307"/>
      <c r="Y394" s="307">
        <v>127000</v>
      </c>
      <c r="Z394" s="307"/>
      <c r="AA394" s="307">
        <v>127000</v>
      </c>
      <c r="AB394" s="307">
        <f t="shared" ref="AB394:AD409" si="124">AE394-S394</f>
        <v>-67000</v>
      </c>
      <c r="AC394" s="307">
        <f t="shared" si="124"/>
        <v>16200</v>
      </c>
      <c r="AD394" s="307">
        <f t="shared" si="124"/>
        <v>-50800</v>
      </c>
      <c r="AE394" s="307">
        <v>60000</v>
      </c>
      <c r="AF394" s="307">
        <v>16200</v>
      </c>
      <c r="AG394" s="307">
        <f>SUM(AE394:AF394)</f>
        <v>76200</v>
      </c>
      <c r="AH394" s="308"/>
      <c r="AI394" s="307"/>
      <c r="AJ394" s="307"/>
      <c r="AK394" s="307"/>
      <c r="AL394" s="307"/>
      <c r="AM394" s="307"/>
      <c r="AN394" s="307"/>
      <c r="AO394" s="307"/>
      <c r="AP394" s="307"/>
      <c r="AQ394" s="307"/>
      <c r="AR394" s="307"/>
      <c r="AS394" s="307"/>
      <c r="AT394" s="307"/>
      <c r="AU394" s="307"/>
      <c r="AV394" s="307"/>
      <c r="AW394" s="307"/>
      <c r="AX394" s="307"/>
      <c r="AY394" s="307"/>
      <c r="AZ394" s="307"/>
      <c r="BA394" s="307"/>
      <c r="BB394" s="307"/>
      <c r="BC394" s="499"/>
      <c r="BD394" s="499"/>
      <c r="BE394" s="499"/>
      <c r="BF394" s="307"/>
      <c r="BG394" s="307"/>
      <c r="BH394" s="307"/>
      <c r="BI394" s="723"/>
      <c r="BJ394" s="509"/>
      <c r="BK394" s="723"/>
      <c r="BL394" s="509"/>
      <c r="BM394" s="723"/>
      <c r="BN394" s="723"/>
      <c r="BO394" s="723"/>
      <c r="BP394" s="516"/>
      <c r="BQ394" s="724"/>
      <c r="BR394" s="723"/>
      <c r="BS394" s="509"/>
      <c r="BT394" s="723"/>
      <c r="BU394" s="723"/>
      <c r="BV394" s="723"/>
      <c r="BW394" s="723"/>
      <c r="BX394" s="723"/>
      <c r="BY394" s="516"/>
      <c r="BZ394" s="724"/>
      <c r="CA394" s="723"/>
      <c r="CB394" s="516">
        <v>76200000</v>
      </c>
      <c r="CC394" s="297">
        <v>76200</v>
      </c>
      <c r="CD394" s="724"/>
    </row>
    <row r="395" spans="1:82" x14ac:dyDescent="0.2">
      <c r="A395" s="726" t="s">
        <v>517</v>
      </c>
      <c r="B395" s="292"/>
      <c r="C395" s="293" t="s">
        <v>1143</v>
      </c>
      <c r="D395" s="314"/>
      <c r="E395" s="702" t="s">
        <v>1004</v>
      </c>
      <c r="F395" s="294" t="s">
        <v>1596</v>
      </c>
      <c r="G395" s="516">
        <v>39370</v>
      </c>
      <c r="H395" s="516">
        <v>10630</v>
      </c>
      <c r="I395" s="516">
        <v>50000</v>
      </c>
      <c r="J395" s="338">
        <f t="shared" si="116"/>
        <v>-16126</v>
      </c>
      <c r="K395" s="338">
        <f t="shared" si="116"/>
        <v>-4354</v>
      </c>
      <c r="L395" s="338">
        <f t="shared" si="116"/>
        <v>-20480</v>
      </c>
      <c r="M395" s="299">
        <f>G395-SUM(M396:M409)</f>
        <v>23244</v>
      </c>
      <c r="N395" s="299">
        <f>H395-SUM(N396:N409)</f>
        <v>6276</v>
      </c>
      <c r="O395" s="299">
        <f>I395-SUM(O396:O409)</f>
        <v>29520</v>
      </c>
      <c r="P395" s="296">
        <f t="shared" si="120"/>
        <v>-15800</v>
      </c>
      <c r="Q395" s="296">
        <f t="shared" si="120"/>
        <v>-4265</v>
      </c>
      <c r="R395" s="296">
        <f t="shared" si="120"/>
        <v>-20065</v>
      </c>
      <c r="S395" s="296">
        <f>M395-SUM(P396:P414)</f>
        <v>7444</v>
      </c>
      <c r="T395" s="296">
        <f>N395-SUM(Q396:Q414)</f>
        <v>2011</v>
      </c>
      <c r="U395" s="296">
        <f>O395-SUM(R396:R412)</f>
        <v>9455</v>
      </c>
      <c r="V395" s="296"/>
      <c r="W395" s="296"/>
      <c r="X395" s="296"/>
      <c r="Y395" s="296">
        <v>7444</v>
      </c>
      <c r="Z395" s="296">
        <v>2011</v>
      </c>
      <c r="AA395" s="296">
        <v>9455</v>
      </c>
      <c r="AB395" s="296">
        <f t="shared" si="124"/>
        <v>-7444</v>
      </c>
      <c r="AC395" s="296">
        <f t="shared" si="124"/>
        <v>-2011</v>
      </c>
      <c r="AD395" s="296">
        <f t="shared" si="124"/>
        <v>-9455</v>
      </c>
      <c r="AE395" s="296">
        <v>0</v>
      </c>
      <c r="AF395" s="296">
        <v>0</v>
      </c>
      <c r="AG395" s="296">
        <f>SUM(AE395:AF395)</f>
        <v>0</v>
      </c>
      <c r="AH395" s="299"/>
      <c r="AI395" s="296"/>
      <c r="AJ395" s="296"/>
      <c r="AK395" s="296"/>
      <c r="AL395" s="296"/>
      <c r="AM395" s="296"/>
      <c r="AN395" s="296"/>
      <c r="AO395" s="296"/>
      <c r="AP395" s="296"/>
      <c r="AQ395" s="296"/>
      <c r="AR395" s="296"/>
      <c r="AS395" s="296"/>
      <c r="AT395" s="296"/>
      <c r="AU395" s="296"/>
      <c r="AV395" s="296"/>
      <c r="AW395" s="296"/>
      <c r="AX395" s="296"/>
      <c r="AY395" s="296"/>
      <c r="AZ395" s="296"/>
      <c r="BA395" s="296"/>
      <c r="BB395" s="296"/>
      <c r="BC395" s="499"/>
      <c r="BD395" s="499"/>
      <c r="BE395" s="499"/>
      <c r="BF395" s="296"/>
      <c r="BG395" s="296"/>
      <c r="BH395" s="296"/>
      <c r="BI395" s="722">
        <f>SUM(I395:I414)</f>
        <v>50000</v>
      </c>
      <c r="BJ395" s="722">
        <f>SUM(L395:L3520)</f>
        <v>-425950</v>
      </c>
      <c r="BK395" s="722">
        <f>SUM(O395:O414)</f>
        <v>50000</v>
      </c>
      <c r="BL395" s="722">
        <f>SUM(R395:R414)</f>
        <v>0</v>
      </c>
      <c r="BM395" s="722">
        <f>SUM(U395:U414)</f>
        <v>50000</v>
      </c>
      <c r="BN395" s="722">
        <f>SUM(AD395:AD414)</f>
        <v>-21868</v>
      </c>
      <c r="BO395" s="722">
        <f>SUM(AA395:AA414)</f>
        <v>50000</v>
      </c>
      <c r="BP395" s="722"/>
      <c r="BQ395" s="722">
        <f>SUM(AG395:AG414)</f>
        <v>28132</v>
      </c>
      <c r="BR395" s="722">
        <f>SUM(AJ395:AJ414)</f>
        <v>0</v>
      </c>
      <c r="BS395" s="722">
        <f>SUM(AM395:AM414)</f>
        <v>0</v>
      </c>
      <c r="BT395" s="722">
        <f>SUM(AP395:AP414)</f>
        <v>0</v>
      </c>
      <c r="BU395" s="722">
        <f>SUM(AS395:AS414)</f>
        <v>0</v>
      </c>
      <c r="BV395" s="722">
        <f>SUM(AV395:AV414)</f>
        <v>0</v>
      </c>
      <c r="BW395" s="722">
        <f>SUM(BE395:BE414)</f>
        <v>0</v>
      </c>
      <c r="BX395" s="722">
        <f>SUM(BB395:BB414)</f>
        <v>0</v>
      </c>
      <c r="BY395" s="516"/>
      <c r="BZ395" s="722">
        <f>SUM(BH395:BH414)</f>
        <v>0</v>
      </c>
      <c r="CA395" s="722">
        <f>SUM(BQ395,BZ395)</f>
        <v>28132</v>
      </c>
      <c r="CB395" s="516">
        <v>0</v>
      </c>
      <c r="CC395" s="297">
        <v>0</v>
      </c>
      <c r="CD395" s="722">
        <f>SUM(CC395:CC414)</f>
        <v>28132</v>
      </c>
    </row>
    <row r="396" spans="1:82" ht="22.5" x14ac:dyDescent="0.2">
      <c r="A396" s="727"/>
      <c r="B396" s="292" t="s">
        <v>1381</v>
      </c>
      <c r="C396" s="329" t="s">
        <v>1005</v>
      </c>
      <c r="D396" s="314"/>
      <c r="E396" s="703"/>
      <c r="F396" s="294" t="s">
        <v>1006</v>
      </c>
      <c r="G396" s="296"/>
      <c r="H396" s="296"/>
      <c r="I396" s="296"/>
      <c r="J396" s="299">
        <f t="shared" si="116"/>
        <v>6397</v>
      </c>
      <c r="K396" s="299">
        <f t="shared" si="116"/>
        <v>1727</v>
      </c>
      <c r="L396" s="299">
        <f t="shared" si="116"/>
        <v>8124</v>
      </c>
      <c r="M396" s="299">
        <v>6397</v>
      </c>
      <c r="N396" s="299">
        <v>1727</v>
      </c>
      <c r="O396" s="299">
        <f t="shared" ref="O396:O409" si="125">SUM(M396:N396)</f>
        <v>8124</v>
      </c>
      <c r="P396" s="296">
        <f t="shared" si="120"/>
        <v>0</v>
      </c>
      <c r="Q396" s="296">
        <f t="shared" si="120"/>
        <v>0</v>
      </c>
      <c r="R396" s="296">
        <f t="shared" si="120"/>
        <v>0</v>
      </c>
      <c r="S396" s="296">
        <v>6397</v>
      </c>
      <c r="T396" s="296">
        <v>1727</v>
      </c>
      <c r="U396" s="296">
        <f t="shared" ref="U396:U412" si="126">SUM(S396:T396)</f>
        <v>8124</v>
      </c>
      <c r="V396" s="296"/>
      <c r="W396" s="296"/>
      <c r="X396" s="296"/>
      <c r="Y396" s="296">
        <v>6397</v>
      </c>
      <c r="Z396" s="296">
        <v>1727</v>
      </c>
      <c r="AA396" s="296">
        <v>8124</v>
      </c>
      <c r="AB396" s="296">
        <f t="shared" si="124"/>
        <v>0</v>
      </c>
      <c r="AC396" s="296">
        <f t="shared" si="124"/>
        <v>0</v>
      </c>
      <c r="AD396" s="296">
        <f t="shared" si="124"/>
        <v>0</v>
      </c>
      <c r="AE396" s="296">
        <v>6397</v>
      </c>
      <c r="AF396" s="296">
        <v>1727</v>
      </c>
      <c r="AG396" s="296">
        <f t="shared" ref="AG396:AG414" si="127">SUM(AE396:AF396)</f>
        <v>8124</v>
      </c>
      <c r="AH396" s="299"/>
      <c r="AI396" s="296"/>
      <c r="AJ396" s="299"/>
      <c r="AK396" s="321"/>
      <c r="AL396" s="321"/>
      <c r="AM396" s="321"/>
      <c r="AN396" s="321"/>
      <c r="AO396" s="321"/>
      <c r="AP396" s="321"/>
      <c r="AQ396" s="296"/>
      <c r="AR396" s="296"/>
      <c r="AS396" s="296"/>
      <c r="AT396" s="296"/>
      <c r="AU396" s="296"/>
      <c r="AV396" s="296"/>
      <c r="AW396" s="296"/>
      <c r="AX396" s="296"/>
      <c r="AY396" s="296"/>
      <c r="AZ396" s="296"/>
      <c r="BA396" s="296"/>
      <c r="BB396" s="296"/>
      <c r="BC396" s="499"/>
      <c r="BD396" s="499"/>
      <c r="BE396" s="499"/>
      <c r="BF396" s="296"/>
      <c r="BG396" s="296"/>
      <c r="BH396" s="296"/>
      <c r="BI396" s="723"/>
      <c r="BJ396" s="723"/>
      <c r="BK396" s="723"/>
      <c r="BL396" s="723"/>
      <c r="BM396" s="723"/>
      <c r="BN396" s="723"/>
      <c r="BO396" s="723"/>
      <c r="BP396" s="723"/>
      <c r="BQ396" s="723"/>
      <c r="BR396" s="723"/>
      <c r="BS396" s="723"/>
      <c r="BT396" s="723"/>
      <c r="BU396" s="723"/>
      <c r="BV396" s="723"/>
      <c r="BW396" s="723"/>
      <c r="BX396" s="723"/>
      <c r="BY396" s="516"/>
      <c r="BZ396" s="723"/>
      <c r="CA396" s="723"/>
      <c r="CB396" s="516">
        <v>6396700</v>
      </c>
      <c r="CC396" s="297">
        <v>8124</v>
      </c>
      <c r="CD396" s="723"/>
    </row>
    <row r="397" spans="1:82" ht="22.5" x14ac:dyDescent="0.2">
      <c r="A397" s="727"/>
      <c r="B397" s="292" t="s">
        <v>1381</v>
      </c>
      <c r="C397" s="329" t="s">
        <v>1007</v>
      </c>
      <c r="D397" s="512"/>
      <c r="E397" s="703"/>
      <c r="F397" s="294" t="s">
        <v>1008</v>
      </c>
      <c r="G397" s="294"/>
      <c r="H397" s="294"/>
      <c r="I397" s="332"/>
      <c r="J397" s="299">
        <f t="shared" si="116"/>
        <v>175</v>
      </c>
      <c r="K397" s="299">
        <f t="shared" si="116"/>
        <v>47</v>
      </c>
      <c r="L397" s="299">
        <f t="shared" si="116"/>
        <v>222</v>
      </c>
      <c r="M397" s="299">
        <v>175</v>
      </c>
      <c r="N397" s="299">
        <v>47</v>
      </c>
      <c r="O397" s="299">
        <f t="shared" si="125"/>
        <v>222</v>
      </c>
      <c r="P397" s="356">
        <f t="shared" si="120"/>
        <v>0</v>
      </c>
      <c r="Q397" s="356">
        <f t="shared" si="120"/>
        <v>0</v>
      </c>
      <c r="R397" s="356">
        <f t="shared" si="120"/>
        <v>0</v>
      </c>
      <c r="S397" s="356">
        <v>175</v>
      </c>
      <c r="T397" s="356">
        <v>47</v>
      </c>
      <c r="U397" s="356">
        <f t="shared" si="126"/>
        <v>222</v>
      </c>
      <c r="V397" s="356"/>
      <c r="W397" s="356"/>
      <c r="X397" s="356"/>
      <c r="Y397" s="356">
        <v>175</v>
      </c>
      <c r="Z397" s="356">
        <v>47</v>
      </c>
      <c r="AA397" s="356">
        <v>222</v>
      </c>
      <c r="AB397" s="356">
        <f t="shared" si="124"/>
        <v>0</v>
      </c>
      <c r="AC397" s="356">
        <f t="shared" si="124"/>
        <v>0</v>
      </c>
      <c r="AD397" s="356">
        <f t="shared" si="124"/>
        <v>0</v>
      </c>
      <c r="AE397" s="356">
        <v>175</v>
      </c>
      <c r="AF397" s="356">
        <v>47</v>
      </c>
      <c r="AG397" s="296">
        <f t="shared" si="127"/>
        <v>222</v>
      </c>
      <c r="AH397" s="332"/>
      <c r="AI397" s="296"/>
      <c r="AJ397" s="296"/>
      <c r="AK397" s="296"/>
      <c r="AL397" s="296"/>
      <c r="AM397" s="296"/>
      <c r="AN397" s="296"/>
      <c r="AO397" s="296"/>
      <c r="AP397" s="296"/>
      <c r="AQ397" s="296"/>
      <c r="AR397" s="296"/>
      <c r="AS397" s="296"/>
      <c r="AT397" s="296"/>
      <c r="AU397" s="296"/>
      <c r="AV397" s="296"/>
      <c r="AW397" s="296"/>
      <c r="AX397" s="296"/>
      <c r="AY397" s="296"/>
      <c r="AZ397" s="296"/>
      <c r="BA397" s="296"/>
      <c r="BB397" s="296"/>
      <c r="BC397" s="499"/>
      <c r="BD397" s="499"/>
      <c r="BE397" s="499"/>
      <c r="BF397" s="296"/>
      <c r="BG397" s="296"/>
      <c r="BH397" s="296"/>
      <c r="BI397" s="723"/>
      <c r="BJ397" s="723"/>
      <c r="BK397" s="723"/>
      <c r="BL397" s="723"/>
      <c r="BM397" s="723"/>
      <c r="BN397" s="723"/>
      <c r="BO397" s="723"/>
      <c r="BP397" s="723"/>
      <c r="BQ397" s="723"/>
      <c r="BR397" s="723"/>
      <c r="BS397" s="723"/>
      <c r="BT397" s="723"/>
      <c r="BU397" s="723"/>
      <c r="BV397" s="723"/>
      <c r="BW397" s="723"/>
      <c r="BX397" s="723"/>
      <c r="BY397" s="516"/>
      <c r="BZ397" s="723"/>
      <c r="CA397" s="723"/>
      <c r="CB397" s="516">
        <v>175000</v>
      </c>
      <c r="CC397" s="297">
        <v>222</v>
      </c>
      <c r="CD397" s="723"/>
    </row>
    <row r="398" spans="1:82" ht="22.5" x14ac:dyDescent="0.2">
      <c r="A398" s="727"/>
      <c r="B398" s="292" t="s">
        <v>1381</v>
      </c>
      <c r="C398" s="329" t="s">
        <v>1009</v>
      </c>
      <c r="D398" s="314"/>
      <c r="E398" s="703"/>
      <c r="F398" s="294" t="s">
        <v>1010</v>
      </c>
      <c r="G398" s="366"/>
      <c r="H398" s="366"/>
      <c r="I398" s="321"/>
      <c r="J398" s="296">
        <f t="shared" si="116"/>
        <v>136</v>
      </c>
      <c r="K398" s="296">
        <f t="shared" si="116"/>
        <v>37</v>
      </c>
      <c r="L398" s="296">
        <f t="shared" si="116"/>
        <v>173</v>
      </c>
      <c r="M398" s="296">
        <v>136</v>
      </c>
      <c r="N398" s="296">
        <v>37</v>
      </c>
      <c r="O398" s="296">
        <f t="shared" si="125"/>
        <v>173</v>
      </c>
      <c r="P398" s="296">
        <f t="shared" si="120"/>
        <v>0</v>
      </c>
      <c r="Q398" s="296">
        <f t="shared" si="120"/>
        <v>0</v>
      </c>
      <c r="R398" s="296">
        <f t="shared" si="120"/>
        <v>0</v>
      </c>
      <c r="S398" s="296">
        <v>136</v>
      </c>
      <c r="T398" s="296">
        <v>37</v>
      </c>
      <c r="U398" s="296">
        <f t="shared" si="126"/>
        <v>173</v>
      </c>
      <c r="V398" s="296"/>
      <c r="W398" s="296"/>
      <c r="X398" s="296"/>
      <c r="Y398" s="296">
        <v>136</v>
      </c>
      <c r="Z398" s="296">
        <v>37</v>
      </c>
      <c r="AA398" s="296">
        <v>173</v>
      </c>
      <c r="AB398" s="296">
        <f t="shared" si="124"/>
        <v>0</v>
      </c>
      <c r="AC398" s="296">
        <f t="shared" si="124"/>
        <v>0</v>
      </c>
      <c r="AD398" s="296">
        <f t="shared" si="124"/>
        <v>0</v>
      </c>
      <c r="AE398" s="296">
        <v>136</v>
      </c>
      <c r="AF398" s="296">
        <v>37</v>
      </c>
      <c r="AG398" s="296">
        <f t="shared" si="127"/>
        <v>173</v>
      </c>
      <c r="AH398" s="299"/>
      <c r="AI398" s="296"/>
      <c r="AJ398" s="299"/>
      <c r="AK398" s="321"/>
      <c r="AL398" s="321"/>
      <c r="AM398" s="321"/>
      <c r="AN398" s="321"/>
      <c r="AO398" s="321"/>
      <c r="AP398" s="321"/>
      <c r="AQ398" s="296"/>
      <c r="AR398" s="296"/>
      <c r="AS398" s="296"/>
      <c r="AT398" s="296"/>
      <c r="AU398" s="296"/>
      <c r="AV398" s="296"/>
      <c r="AW398" s="296"/>
      <c r="AX398" s="296"/>
      <c r="AY398" s="296"/>
      <c r="AZ398" s="296"/>
      <c r="BA398" s="296"/>
      <c r="BB398" s="296"/>
      <c r="BC398" s="499"/>
      <c r="BD398" s="499"/>
      <c r="BE398" s="499"/>
      <c r="BF398" s="296"/>
      <c r="BG398" s="296"/>
      <c r="BH398" s="296"/>
      <c r="BI398" s="723"/>
      <c r="BJ398" s="723"/>
      <c r="BK398" s="723"/>
      <c r="BL398" s="723"/>
      <c r="BM398" s="723"/>
      <c r="BN398" s="723"/>
      <c r="BO398" s="723"/>
      <c r="BP398" s="723"/>
      <c r="BQ398" s="723"/>
      <c r="BR398" s="723"/>
      <c r="BS398" s="723"/>
      <c r="BT398" s="723"/>
      <c r="BU398" s="723"/>
      <c r="BV398" s="723"/>
      <c r="BW398" s="723"/>
      <c r="BX398" s="723"/>
      <c r="BY398" s="516"/>
      <c r="BZ398" s="723"/>
      <c r="CA398" s="723"/>
      <c r="CB398" s="516">
        <v>136500</v>
      </c>
      <c r="CC398" s="297">
        <v>173</v>
      </c>
      <c r="CD398" s="723"/>
    </row>
    <row r="399" spans="1:82" ht="22.5" x14ac:dyDescent="0.2">
      <c r="A399" s="727"/>
      <c r="B399" s="292" t="s">
        <v>1381</v>
      </c>
      <c r="C399" s="329" t="s">
        <v>1011</v>
      </c>
      <c r="D399" s="314"/>
      <c r="E399" s="703"/>
      <c r="F399" s="294" t="s">
        <v>1010</v>
      </c>
      <c r="G399" s="336"/>
      <c r="H399" s="296"/>
      <c r="I399" s="296"/>
      <c r="J399" s="296">
        <f t="shared" si="116"/>
        <v>157</v>
      </c>
      <c r="K399" s="296">
        <f t="shared" si="116"/>
        <v>43</v>
      </c>
      <c r="L399" s="296">
        <f t="shared" si="116"/>
        <v>200</v>
      </c>
      <c r="M399" s="296">
        <v>157</v>
      </c>
      <c r="N399" s="296">
        <v>43</v>
      </c>
      <c r="O399" s="296">
        <f t="shared" si="125"/>
        <v>200</v>
      </c>
      <c r="P399" s="296">
        <f t="shared" si="120"/>
        <v>0</v>
      </c>
      <c r="Q399" s="296">
        <f t="shared" si="120"/>
        <v>0</v>
      </c>
      <c r="R399" s="296">
        <f t="shared" si="120"/>
        <v>0</v>
      </c>
      <c r="S399" s="296">
        <v>157</v>
      </c>
      <c r="T399" s="296">
        <v>43</v>
      </c>
      <c r="U399" s="296">
        <f t="shared" si="126"/>
        <v>200</v>
      </c>
      <c r="V399" s="296"/>
      <c r="W399" s="296"/>
      <c r="X399" s="296"/>
      <c r="Y399" s="296">
        <v>157</v>
      </c>
      <c r="Z399" s="296">
        <v>43</v>
      </c>
      <c r="AA399" s="296">
        <v>200</v>
      </c>
      <c r="AB399" s="296">
        <f t="shared" si="124"/>
        <v>0</v>
      </c>
      <c r="AC399" s="296">
        <f t="shared" si="124"/>
        <v>0</v>
      </c>
      <c r="AD399" s="296">
        <f t="shared" si="124"/>
        <v>0</v>
      </c>
      <c r="AE399" s="296">
        <v>157</v>
      </c>
      <c r="AF399" s="296">
        <v>43</v>
      </c>
      <c r="AG399" s="296">
        <f t="shared" si="127"/>
        <v>200</v>
      </c>
      <c r="AH399" s="299"/>
      <c r="AI399" s="296"/>
      <c r="AJ399" s="299"/>
      <c r="AK399" s="321"/>
      <c r="AL399" s="321"/>
      <c r="AM399" s="321"/>
      <c r="AN399" s="321"/>
      <c r="AO399" s="321"/>
      <c r="AP399" s="321"/>
      <c r="AQ399" s="296"/>
      <c r="AR399" s="296"/>
      <c r="AS399" s="296"/>
      <c r="AT399" s="296"/>
      <c r="AU399" s="296"/>
      <c r="AV399" s="296"/>
      <c r="AW399" s="296"/>
      <c r="AX399" s="296"/>
      <c r="AY399" s="296"/>
      <c r="AZ399" s="296"/>
      <c r="BA399" s="296"/>
      <c r="BB399" s="296"/>
      <c r="BC399" s="499"/>
      <c r="BD399" s="499"/>
      <c r="BE399" s="499"/>
      <c r="BF399" s="296"/>
      <c r="BG399" s="296"/>
      <c r="BH399" s="296"/>
      <c r="BI399" s="723"/>
      <c r="BJ399" s="723"/>
      <c r="BK399" s="723"/>
      <c r="BL399" s="723"/>
      <c r="BM399" s="723"/>
      <c r="BN399" s="723"/>
      <c r="BO399" s="723"/>
      <c r="BP399" s="723"/>
      <c r="BQ399" s="723"/>
      <c r="BR399" s="723"/>
      <c r="BS399" s="723"/>
      <c r="BT399" s="723"/>
      <c r="BU399" s="723"/>
      <c r="BV399" s="723"/>
      <c r="BW399" s="723"/>
      <c r="BX399" s="723"/>
      <c r="BY399" s="511"/>
      <c r="BZ399" s="723"/>
      <c r="CA399" s="723"/>
      <c r="CB399" s="516">
        <v>157500</v>
      </c>
      <c r="CC399" s="297">
        <v>200</v>
      </c>
      <c r="CD399" s="723"/>
    </row>
    <row r="400" spans="1:82" ht="22.5" x14ac:dyDescent="0.2">
      <c r="A400" s="727"/>
      <c r="B400" s="292" t="s">
        <v>1381</v>
      </c>
      <c r="C400" s="329" t="s">
        <v>1012</v>
      </c>
      <c r="D400" s="314"/>
      <c r="E400" s="703"/>
      <c r="F400" s="294" t="s">
        <v>1010</v>
      </c>
      <c r="G400" s="336"/>
      <c r="H400" s="296"/>
      <c r="I400" s="296"/>
      <c r="J400" s="296">
        <f t="shared" si="116"/>
        <v>116</v>
      </c>
      <c r="K400" s="296">
        <f t="shared" si="116"/>
        <v>31</v>
      </c>
      <c r="L400" s="296">
        <f t="shared" si="116"/>
        <v>147</v>
      </c>
      <c r="M400" s="296">
        <v>116</v>
      </c>
      <c r="N400" s="296">
        <v>31</v>
      </c>
      <c r="O400" s="296">
        <f t="shared" si="125"/>
        <v>147</v>
      </c>
      <c r="P400" s="296">
        <f t="shared" si="120"/>
        <v>0</v>
      </c>
      <c r="Q400" s="296">
        <f t="shared" si="120"/>
        <v>0</v>
      </c>
      <c r="R400" s="296">
        <f t="shared" si="120"/>
        <v>0</v>
      </c>
      <c r="S400" s="296">
        <v>116</v>
      </c>
      <c r="T400" s="296">
        <v>31</v>
      </c>
      <c r="U400" s="296">
        <f t="shared" si="126"/>
        <v>147</v>
      </c>
      <c r="V400" s="296"/>
      <c r="W400" s="296"/>
      <c r="X400" s="296"/>
      <c r="Y400" s="296">
        <v>116</v>
      </c>
      <c r="Z400" s="296">
        <v>31</v>
      </c>
      <c r="AA400" s="296">
        <v>147</v>
      </c>
      <c r="AB400" s="296">
        <f t="shared" si="124"/>
        <v>0</v>
      </c>
      <c r="AC400" s="296">
        <f t="shared" si="124"/>
        <v>0</v>
      </c>
      <c r="AD400" s="296">
        <f t="shared" si="124"/>
        <v>0</v>
      </c>
      <c r="AE400" s="296">
        <v>116</v>
      </c>
      <c r="AF400" s="296">
        <v>31</v>
      </c>
      <c r="AG400" s="296">
        <f t="shared" si="127"/>
        <v>147</v>
      </c>
      <c r="AH400" s="299"/>
      <c r="AI400" s="296"/>
      <c r="AJ400" s="299"/>
      <c r="AK400" s="321"/>
      <c r="AL400" s="321"/>
      <c r="AM400" s="321"/>
      <c r="AN400" s="321"/>
      <c r="AO400" s="321"/>
      <c r="AP400" s="321"/>
      <c r="AQ400" s="296"/>
      <c r="AR400" s="296"/>
      <c r="AS400" s="296"/>
      <c r="AT400" s="296"/>
      <c r="AU400" s="296"/>
      <c r="AV400" s="296"/>
      <c r="AW400" s="296"/>
      <c r="AX400" s="296"/>
      <c r="AY400" s="296"/>
      <c r="AZ400" s="296"/>
      <c r="BA400" s="296"/>
      <c r="BB400" s="296"/>
      <c r="BC400" s="499"/>
      <c r="BD400" s="499"/>
      <c r="BE400" s="499"/>
      <c r="BF400" s="296"/>
      <c r="BG400" s="296"/>
      <c r="BH400" s="296"/>
      <c r="BI400" s="723"/>
      <c r="BJ400" s="723"/>
      <c r="BK400" s="723"/>
      <c r="BL400" s="723"/>
      <c r="BM400" s="723"/>
      <c r="BN400" s="723"/>
      <c r="BO400" s="723"/>
      <c r="BP400" s="723"/>
      <c r="BQ400" s="723"/>
      <c r="BR400" s="723"/>
      <c r="BS400" s="723"/>
      <c r="BT400" s="723"/>
      <c r="BU400" s="723"/>
      <c r="BV400" s="723"/>
      <c r="BW400" s="723"/>
      <c r="BX400" s="723"/>
      <c r="BY400" s="511"/>
      <c r="BZ400" s="723"/>
      <c r="CA400" s="723"/>
      <c r="CB400" s="516">
        <v>115500</v>
      </c>
      <c r="CC400" s="297">
        <v>147</v>
      </c>
      <c r="CD400" s="723"/>
    </row>
    <row r="401" spans="1:82" ht="22.5" x14ac:dyDescent="0.2">
      <c r="A401" s="727"/>
      <c r="B401" s="292" t="s">
        <v>1381</v>
      </c>
      <c r="C401" s="329" t="s">
        <v>1013</v>
      </c>
      <c r="D401" s="314"/>
      <c r="E401" s="703"/>
      <c r="F401" s="294" t="s">
        <v>1014</v>
      </c>
      <c r="G401" s="296"/>
      <c r="H401" s="296"/>
      <c r="I401" s="296"/>
      <c r="J401" s="299">
        <f t="shared" si="116"/>
        <v>63</v>
      </c>
      <c r="K401" s="299">
        <f t="shared" si="116"/>
        <v>17</v>
      </c>
      <c r="L401" s="299">
        <f t="shared" si="116"/>
        <v>80</v>
      </c>
      <c r="M401" s="299">
        <v>63</v>
      </c>
      <c r="N401" s="299">
        <v>17</v>
      </c>
      <c r="O401" s="299">
        <f t="shared" si="125"/>
        <v>80</v>
      </c>
      <c r="P401" s="296">
        <f t="shared" si="120"/>
        <v>0</v>
      </c>
      <c r="Q401" s="296">
        <f t="shared" si="120"/>
        <v>0</v>
      </c>
      <c r="R401" s="296">
        <f t="shared" si="120"/>
        <v>0</v>
      </c>
      <c r="S401" s="296">
        <v>63</v>
      </c>
      <c r="T401" s="296">
        <v>17</v>
      </c>
      <c r="U401" s="296">
        <f t="shared" si="126"/>
        <v>80</v>
      </c>
      <c r="V401" s="296"/>
      <c r="W401" s="296"/>
      <c r="X401" s="296"/>
      <c r="Y401" s="296">
        <v>63</v>
      </c>
      <c r="Z401" s="296">
        <v>17</v>
      </c>
      <c r="AA401" s="296">
        <v>80</v>
      </c>
      <c r="AB401" s="296">
        <f t="shared" si="124"/>
        <v>0</v>
      </c>
      <c r="AC401" s="296">
        <f t="shared" si="124"/>
        <v>0</v>
      </c>
      <c r="AD401" s="296">
        <f t="shared" si="124"/>
        <v>0</v>
      </c>
      <c r="AE401" s="296">
        <v>63</v>
      </c>
      <c r="AF401" s="296">
        <v>17</v>
      </c>
      <c r="AG401" s="296">
        <f t="shared" si="127"/>
        <v>80</v>
      </c>
      <c r="AH401" s="299"/>
      <c r="AI401" s="296"/>
      <c r="AJ401" s="299"/>
      <c r="AK401" s="321"/>
      <c r="AL401" s="321"/>
      <c r="AM401" s="321"/>
      <c r="AN401" s="321"/>
      <c r="AO401" s="321"/>
      <c r="AP401" s="321"/>
      <c r="AQ401" s="296"/>
      <c r="AR401" s="296"/>
      <c r="AS401" s="296"/>
      <c r="AT401" s="296"/>
      <c r="AU401" s="296"/>
      <c r="AV401" s="296"/>
      <c r="AW401" s="296"/>
      <c r="AX401" s="296"/>
      <c r="AY401" s="296"/>
      <c r="AZ401" s="296"/>
      <c r="BA401" s="296"/>
      <c r="BB401" s="296"/>
      <c r="BC401" s="499"/>
      <c r="BD401" s="499"/>
      <c r="BE401" s="499"/>
      <c r="BF401" s="296"/>
      <c r="BG401" s="296"/>
      <c r="BH401" s="296"/>
      <c r="BI401" s="723"/>
      <c r="BJ401" s="723"/>
      <c r="BK401" s="723"/>
      <c r="BL401" s="723"/>
      <c r="BM401" s="723"/>
      <c r="BN401" s="723"/>
      <c r="BO401" s="723"/>
      <c r="BP401" s="723"/>
      <c r="BQ401" s="723"/>
      <c r="BR401" s="723"/>
      <c r="BS401" s="723"/>
      <c r="BT401" s="723"/>
      <c r="BU401" s="723"/>
      <c r="BV401" s="723"/>
      <c r="BW401" s="723"/>
      <c r="BX401" s="723"/>
      <c r="BY401" s="516"/>
      <c r="BZ401" s="723"/>
      <c r="CA401" s="723"/>
      <c r="CB401" s="516">
        <v>63000</v>
      </c>
      <c r="CC401" s="297">
        <v>80</v>
      </c>
      <c r="CD401" s="723"/>
    </row>
    <row r="402" spans="1:82" ht="22.5" x14ac:dyDescent="0.2">
      <c r="A402" s="727"/>
      <c r="B402" s="292" t="s">
        <v>1381</v>
      </c>
      <c r="C402" s="329" t="s">
        <v>1015</v>
      </c>
      <c r="D402" s="314"/>
      <c r="E402" s="703"/>
      <c r="F402" s="294" t="s">
        <v>1016</v>
      </c>
      <c r="G402" s="296"/>
      <c r="H402" s="296"/>
      <c r="I402" s="296"/>
      <c r="J402" s="299">
        <f t="shared" si="116"/>
        <v>176</v>
      </c>
      <c r="K402" s="299">
        <f t="shared" si="116"/>
        <v>47</v>
      </c>
      <c r="L402" s="299">
        <f t="shared" si="116"/>
        <v>223</v>
      </c>
      <c r="M402" s="299">
        <v>176</v>
      </c>
      <c r="N402" s="299">
        <v>47</v>
      </c>
      <c r="O402" s="299">
        <f t="shared" si="125"/>
        <v>223</v>
      </c>
      <c r="P402" s="296">
        <f t="shared" si="120"/>
        <v>0</v>
      </c>
      <c r="Q402" s="296">
        <f t="shared" si="120"/>
        <v>0</v>
      </c>
      <c r="R402" s="296">
        <f t="shared" si="120"/>
        <v>0</v>
      </c>
      <c r="S402" s="296">
        <v>176</v>
      </c>
      <c r="T402" s="296">
        <v>47</v>
      </c>
      <c r="U402" s="296">
        <f t="shared" si="126"/>
        <v>223</v>
      </c>
      <c r="V402" s="296"/>
      <c r="W402" s="296"/>
      <c r="X402" s="296"/>
      <c r="Y402" s="296">
        <v>176</v>
      </c>
      <c r="Z402" s="296">
        <v>47</v>
      </c>
      <c r="AA402" s="296">
        <v>223</v>
      </c>
      <c r="AB402" s="296">
        <f t="shared" si="124"/>
        <v>0</v>
      </c>
      <c r="AC402" s="296">
        <f t="shared" si="124"/>
        <v>0</v>
      </c>
      <c r="AD402" s="296">
        <f t="shared" si="124"/>
        <v>0</v>
      </c>
      <c r="AE402" s="296">
        <v>176</v>
      </c>
      <c r="AF402" s="296">
        <v>47</v>
      </c>
      <c r="AG402" s="296">
        <f t="shared" si="127"/>
        <v>223</v>
      </c>
      <c r="AH402" s="299"/>
      <c r="AI402" s="296"/>
      <c r="AJ402" s="299"/>
      <c r="AK402" s="321"/>
      <c r="AL402" s="321"/>
      <c r="AM402" s="321"/>
      <c r="AN402" s="321"/>
      <c r="AO402" s="321"/>
      <c r="AP402" s="321"/>
      <c r="AQ402" s="296"/>
      <c r="AR402" s="296"/>
      <c r="AS402" s="296"/>
      <c r="AT402" s="296"/>
      <c r="AU402" s="296"/>
      <c r="AV402" s="296"/>
      <c r="AW402" s="296"/>
      <c r="AX402" s="296"/>
      <c r="AY402" s="296"/>
      <c r="AZ402" s="296"/>
      <c r="BA402" s="296"/>
      <c r="BB402" s="296"/>
      <c r="BC402" s="499"/>
      <c r="BD402" s="499"/>
      <c r="BE402" s="499"/>
      <c r="BF402" s="296"/>
      <c r="BG402" s="296"/>
      <c r="BH402" s="296"/>
      <c r="BI402" s="723"/>
      <c r="BJ402" s="723"/>
      <c r="BK402" s="723"/>
      <c r="BL402" s="723"/>
      <c r="BM402" s="723"/>
      <c r="BN402" s="723"/>
      <c r="BO402" s="723"/>
      <c r="BP402" s="723"/>
      <c r="BQ402" s="723"/>
      <c r="BR402" s="723"/>
      <c r="BS402" s="723"/>
      <c r="BT402" s="723"/>
      <c r="BU402" s="723"/>
      <c r="BV402" s="723"/>
      <c r="BW402" s="723"/>
      <c r="BX402" s="723"/>
      <c r="BY402" s="516"/>
      <c r="BZ402" s="723"/>
      <c r="CA402" s="723"/>
      <c r="CB402" s="516">
        <v>175551</v>
      </c>
      <c r="CC402" s="297">
        <v>222</v>
      </c>
      <c r="CD402" s="723"/>
    </row>
    <row r="403" spans="1:82" ht="22.5" x14ac:dyDescent="0.2">
      <c r="A403" s="727"/>
      <c r="B403" s="292" t="s">
        <v>1381</v>
      </c>
      <c r="C403" s="329" t="s">
        <v>1017</v>
      </c>
      <c r="D403" s="314"/>
      <c r="E403" s="703"/>
      <c r="F403" s="294" t="s">
        <v>1016</v>
      </c>
      <c r="G403" s="296"/>
      <c r="H403" s="296"/>
      <c r="I403" s="296"/>
      <c r="J403" s="299">
        <f t="shared" si="116"/>
        <v>87</v>
      </c>
      <c r="K403" s="299">
        <f t="shared" si="116"/>
        <v>24</v>
      </c>
      <c r="L403" s="299">
        <f t="shared" si="116"/>
        <v>111</v>
      </c>
      <c r="M403" s="299">
        <v>87</v>
      </c>
      <c r="N403" s="299">
        <v>24</v>
      </c>
      <c r="O403" s="299">
        <f t="shared" si="125"/>
        <v>111</v>
      </c>
      <c r="P403" s="296">
        <f t="shared" ref="P403:R425" si="128">S403-M403</f>
        <v>0</v>
      </c>
      <c r="Q403" s="296">
        <f t="shared" si="128"/>
        <v>0</v>
      </c>
      <c r="R403" s="296">
        <f t="shared" si="128"/>
        <v>0</v>
      </c>
      <c r="S403" s="296">
        <v>87</v>
      </c>
      <c r="T403" s="296">
        <v>24</v>
      </c>
      <c r="U403" s="296">
        <f t="shared" si="126"/>
        <v>111</v>
      </c>
      <c r="V403" s="296"/>
      <c r="W403" s="296"/>
      <c r="X403" s="296"/>
      <c r="Y403" s="296">
        <v>87</v>
      </c>
      <c r="Z403" s="296">
        <v>24</v>
      </c>
      <c r="AA403" s="296">
        <v>111</v>
      </c>
      <c r="AB403" s="296">
        <f t="shared" si="124"/>
        <v>0</v>
      </c>
      <c r="AC403" s="296">
        <f t="shared" si="124"/>
        <v>0</v>
      </c>
      <c r="AD403" s="296">
        <f t="shared" si="124"/>
        <v>0</v>
      </c>
      <c r="AE403" s="296">
        <v>87</v>
      </c>
      <c r="AF403" s="296">
        <v>24</v>
      </c>
      <c r="AG403" s="296">
        <f t="shared" si="127"/>
        <v>111</v>
      </c>
      <c r="AH403" s="299"/>
      <c r="AI403" s="296"/>
      <c r="AJ403" s="299"/>
      <c r="AK403" s="321"/>
      <c r="AL403" s="321"/>
      <c r="AM403" s="321"/>
      <c r="AN403" s="321"/>
      <c r="AO403" s="321"/>
      <c r="AP403" s="321"/>
      <c r="AQ403" s="296"/>
      <c r="AR403" s="296"/>
      <c r="AS403" s="296"/>
      <c r="AT403" s="296"/>
      <c r="AU403" s="296"/>
      <c r="AV403" s="296"/>
      <c r="AW403" s="296"/>
      <c r="AX403" s="296"/>
      <c r="AY403" s="296"/>
      <c r="AZ403" s="296"/>
      <c r="BA403" s="296"/>
      <c r="BB403" s="296"/>
      <c r="BC403" s="499"/>
      <c r="BD403" s="499"/>
      <c r="BE403" s="499"/>
      <c r="BF403" s="296"/>
      <c r="BG403" s="296"/>
      <c r="BH403" s="296"/>
      <c r="BI403" s="723"/>
      <c r="BJ403" s="723"/>
      <c r="BK403" s="723"/>
      <c r="BL403" s="723"/>
      <c r="BM403" s="723"/>
      <c r="BN403" s="723"/>
      <c r="BO403" s="723"/>
      <c r="BP403" s="723"/>
      <c r="BQ403" s="723"/>
      <c r="BR403" s="723"/>
      <c r="BS403" s="723"/>
      <c r="BT403" s="723"/>
      <c r="BU403" s="723"/>
      <c r="BV403" s="723"/>
      <c r="BW403" s="723"/>
      <c r="BX403" s="723"/>
      <c r="BY403" s="516"/>
      <c r="BZ403" s="723"/>
      <c r="CA403" s="723"/>
      <c r="CB403" s="516">
        <v>87500</v>
      </c>
      <c r="CC403" s="297">
        <v>111</v>
      </c>
      <c r="CD403" s="723"/>
    </row>
    <row r="404" spans="1:82" ht="22.5" x14ac:dyDescent="0.2">
      <c r="A404" s="727"/>
      <c r="B404" s="292" t="s">
        <v>1381</v>
      </c>
      <c r="C404" s="329" t="s">
        <v>1018</v>
      </c>
      <c r="D404" s="314"/>
      <c r="E404" s="703"/>
      <c r="F404" s="294" t="s">
        <v>1019</v>
      </c>
      <c r="G404" s="296"/>
      <c r="H404" s="296"/>
      <c r="I404" s="296"/>
      <c r="J404" s="299">
        <f t="shared" si="116"/>
        <v>168</v>
      </c>
      <c r="K404" s="299">
        <f t="shared" si="116"/>
        <v>45</v>
      </c>
      <c r="L404" s="299">
        <f t="shared" si="116"/>
        <v>213</v>
      </c>
      <c r="M404" s="299">
        <v>168</v>
      </c>
      <c r="N404" s="299">
        <v>45</v>
      </c>
      <c r="O404" s="299">
        <f t="shared" si="125"/>
        <v>213</v>
      </c>
      <c r="P404" s="296">
        <f t="shared" si="128"/>
        <v>0</v>
      </c>
      <c r="Q404" s="296">
        <f t="shared" si="128"/>
        <v>0</v>
      </c>
      <c r="R404" s="296">
        <f t="shared" si="128"/>
        <v>0</v>
      </c>
      <c r="S404" s="296">
        <v>168</v>
      </c>
      <c r="T404" s="296">
        <v>45</v>
      </c>
      <c r="U404" s="296">
        <f t="shared" si="126"/>
        <v>213</v>
      </c>
      <c r="V404" s="296"/>
      <c r="W404" s="296"/>
      <c r="X404" s="296"/>
      <c r="Y404" s="296">
        <v>168</v>
      </c>
      <c r="Z404" s="296">
        <v>45</v>
      </c>
      <c r="AA404" s="296">
        <v>213</v>
      </c>
      <c r="AB404" s="296">
        <f t="shared" si="124"/>
        <v>0</v>
      </c>
      <c r="AC404" s="296">
        <f t="shared" si="124"/>
        <v>0</v>
      </c>
      <c r="AD404" s="296">
        <f t="shared" si="124"/>
        <v>0</v>
      </c>
      <c r="AE404" s="296">
        <v>168</v>
      </c>
      <c r="AF404" s="296">
        <v>45</v>
      </c>
      <c r="AG404" s="296">
        <f t="shared" si="127"/>
        <v>213</v>
      </c>
      <c r="AH404" s="299"/>
      <c r="AI404" s="296"/>
      <c r="AJ404" s="299"/>
      <c r="AK404" s="321"/>
      <c r="AL404" s="321"/>
      <c r="AM404" s="321"/>
      <c r="AN404" s="321"/>
      <c r="AO404" s="321"/>
      <c r="AP404" s="321"/>
      <c r="AQ404" s="296"/>
      <c r="AR404" s="296"/>
      <c r="AS404" s="296"/>
      <c r="AT404" s="296"/>
      <c r="AU404" s="296"/>
      <c r="AV404" s="296"/>
      <c r="AW404" s="296"/>
      <c r="AX404" s="296"/>
      <c r="AY404" s="296"/>
      <c r="AZ404" s="296"/>
      <c r="BA404" s="296"/>
      <c r="BB404" s="296"/>
      <c r="BC404" s="499"/>
      <c r="BD404" s="499"/>
      <c r="BE404" s="499"/>
      <c r="BF404" s="296"/>
      <c r="BG404" s="296"/>
      <c r="BH404" s="296"/>
      <c r="BI404" s="723"/>
      <c r="BJ404" s="723"/>
      <c r="BK404" s="723"/>
      <c r="BL404" s="723"/>
      <c r="BM404" s="723"/>
      <c r="BN404" s="723"/>
      <c r="BO404" s="723"/>
      <c r="BP404" s="723"/>
      <c r="BQ404" s="723"/>
      <c r="BR404" s="723"/>
      <c r="BS404" s="723"/>
      <c r="BT404" s="723"/>
      <c r="BU404" s="723"/>
      <c r="BV404" s="723"/>
      <c r="BW404" s="723"/>
      <c r="BX404" s="723"/>
      <c r="BY404" s="516"/>
      <c r="BZ404" s="723"/>
      <c r="CA404" s="723"/>
      <c r="CB404" s="516">
        <v>168000</v>
      </c>
      <c r="CC404" s="297">
        <v>213</v>
      </c>
      <c r="CD404" s="723"/>
    </row>
    <row r="405" spans="1:82" ht="22.5" x14ac:dyDescent="0.2">
      <c r="A405" s="727"/>
      <c r="B405" s="292" t="s">
        <v>1381</v>
      </c>
      <c r="C405" s="329" t="s">
        <v>1020</v>
      </c>
      <c r="D405" s="314"/>
      <c r="E405" s="703"/>
      <c r="F405" s="294" t="s">
        <v>1019</v>
      </c>
      <c r="G405" s="296"/>
      <c r="H405" s="296"/>
      <c r="I405" s="296"/>
      <c r="J405" s="299">
        <f t="shared" si="116"/>
        <v>10</v>
      </c>
      <c r="K405" s="299">
        <f t="shared" si="116"/>
        <v>3</v>
      </c>
      <c r="L405" s="299">
        <f t="shared" si="116"/>
        <v>13</v>
      </c>
      <c r="M405" s="299">
        <v>10</v>
      </c>
      <c r="N405" s="299">
        <v>3</v>
      </c>
      <c r="O405" s="299">
        <f t="shared" si="125"/>
        <v>13</v>
      </c>
      <c r="P405" s="296">
        <f t="shared" si="128"/>
        <v>0</v>
      </c>
      <c r="Q405" s="296">
        <f t="shared" si="128"/>
        <v>0</v>
      </c>
      <c r="R405" s="296">
        <f t="shared" si="128"/>
        <v>0</v>
      </c>
      <c r="S405" s="296">
        <v>10</v>
      </c>
      <c r="T405" s="296">
        <v>3</v>
      </c>
      <c r="U405" s="296">
        <f t="shared" si="126"/>
        <v>13</v>
      </c>
      <c r="V405" s="296"/>
      <c r="W405" s="296"/>
      <c r="X405" s="296"/>
      <c r="Y405" s="296">
        <v>10</v>
      </c>
      <c r="Z405" s="296">
        <v>3</v>
      </c>
      <c r="AA405" s="296">
        <v>13</v>
      </c>
      <c r="AB405" s="296">
        <f t="shared" si="124"/>
        <v>0</v>
      </c>
      <c r="AC405" s="296">
        <f t="shared" si="124"/>
        <v>0</v>
      </c>
      <c r="AD405" s="296">
        <f t="shared" si="124"/>
        <v>0</v>
      </c>
      <c r="AE405" s="296">
        <v>10</v>
      </c>
      <c r="AF405" s="296">
        <v>3</v>
      </c>
      <c r="AG405" s="296">
        <f t="shared" si="127"/>
        <v>13</v>
      </c>
      <c r="AH405" s="299"/>
      <c r="AI405" s="296"/>
      <c r="AJ405" s="299"/>
      <c r="AK405" s="321"/>
      <c r="AL405" s="321"/>
      <c r="AM405" s="321"/>
      <c r="AN405" s="321"/>
      <c r="AO405" s="321"/>
      <c r="AP405" s="321"/>
      <c r="AQ405" s="296"/>
      <c r="AR405" s="296"/>
      <c r="AS405" s="296"/>
      <c r="AT405" s="296"/>
      <c r="AU405" s="296"/>
      <c r="AV405" s="296"/>
      <c r="AW405" s="296"/>
      <c r="AX405" s="296"/>
      <c r="AY405" s="296"/>
      <c r="AZ405" s="296"/>
      <c r="BA405" s="296"/>
      <c r="BB405" s="296"/>
      <c r="BC405" s="499"/>
      <c r="BD405" s="499"/>
      <c r="BE405" s="499"/>
      <c r="BF405" s="296"/>
      <c r="BG405" s="296"/>
      <c r="BH405" s="296"/>
      <c r="BI405" s="723"/>
      <c r="BJ405" s="723"/>
      <c r="BK405" s="723"/>
      <c r="BL405" s="723"/>
      <c r="BM405" s="723"/>
      <c r="BN405" s="723"/>
      <c r="BO405" s="723"/>
      <c r="BP405" s="723"/>
      <c r="BQ405" s="723"/>
      <c r="BR405" s="723"/>
      <c r="BS405" s="723"/>
      <c r="BT405" s="723"/>
      <c r="BU405" s="723"/>
      <c r="BV405" s="723"/>
      <c r="BW405" s="723"/>
      <c r="BX405" s="723"/>
      <c r="BY405" s="516"/>
      <c r="BZ405" s="723"/>
      <c r="CA405" s="723"/>
      <c r="CB405" s="516">
        <v>10500</v>
      </c>
      <c r="CC405" s="297">
        <v>14</v>
      </c>
      <c r="CD405" s="723"/>
    </row>
    <row r="406" spans="1:82" ht="22.5" x14ac:dyDescent="0.2">
      <c r="A406" s="727"/>
      <c r="B406" s="292" t="s">
        <v>1381</v>
      </c>
      <c r="C406" s="329" t="s">
        <v>1021</v>
      </c>
      <c r="D406" s="314"/>
      <c r="E406" s="703"/>
      <c r="F406" s="294" t="s">
        <v>1022</v>
      </c>
      <c r="G406" s="296"/>
      <c r="H406" s="296"/>
      <c r="I406" s="296"/>
      <c r="J406" s="299">
        <f t="shared" si="116"/>
        <v>189</v>
      </c>
      <c r="K406" s="299">
        <f t="shared" si="116"/>
        <v>51</v>
      </c>
      <c r="L406" s="299">
        <f t="shared" si="116"/>
        <v>240</v>
      </c>
      <c r="M406" s="299">
        <v>189</v>
      </c>
      <c r="N406" s="299">
        <v>51</v>
      </c>
      <c r="O406" s="299">
        <f t="shared" si="125"/>
        <v>240</v>
      </c>
      <c r="P406" s="296">
        <f t="shared" si="128"/>
        <v>0</v>
      </c>
      <c r="Q406" s="296">
        <f t="shared" si="128"/>
        <v>0</v>
      </c>
      <c r="R406" s="296">
        <f t="shared" si="128"/>
        <v>0</v>
      </c>
      <c r="S406" s="296">
        <v>189</v>
      </c>
      <c r="T406" s="296">
        <v>51</v>
      </c>
      <c r="U406" s="296">
        <f t="shared" si="126"/>
        <v>240</v>
      </c>
      <c r="V406" s="296"/>
      <c r="W406" s="296"/>
      <c r="X406" s="296"/>
      <c r="Y406" s="296">
        <v>189</v>
      </c>
      <c r="Z406" s="296">
        <v>51</v>
      </c>
      <c r="AA406" s="296">
        <v>240</v>
      </c>
      <c r="AB406" s="296">
        <f t="shared" si="124"/>
        <v>0</v>
      </c>
      <c r="AC406" s="296">
        <f t="shared" si="124"/>
        <v>0</v>
      </c>
      <c r="AD406" s="296">
        <f t="shared" si="124"/>
        <v>0</v>
      </c>
      <c r="AE406" s="296">
        <v>189</v>
      </c>
      <c r="AF406" s="296">
        <v>51</v>
      </c>
      <c r="AG406" s="296">
        <f t="shared" si="127"/>
        <v>240</v>
      </c>
      <c r="AH406" s="299"/>
      <c r="AI406" s="296"/>
      <c r="AJ406" s="299"/>
      <c r="AK406" s="321"/>
      <c r="AL406" s="321"/>
      <c r="AM406" s="321"/>
      <c r="AN406" s="321"/>
      <c r="AO406" s="321"/>
      <c r="AP406" s="321"/>
      <c r="AQ406" s="296"/>
      <c r="AR406" s="296"/>
      <c r="AS406" s="296"/>
      <c r="AT406" s="296"/>
      <c r="AU406" s="296"/>
      <c r="AV406" s="296"/>
      <c r="AW406" s="296"/>
      <c r="AX406" s="296"/>
      <c r="AY406" s="296"/>
      <c r="AZ406" s="296"/>
      <c r="BA406" s="296"/>
      <c r="BB406" s="296"/>
      <c r="BC406" s="499"/>
      <c r="BD406" s="499"/>
      <c r="BE406" s="499"/>
      <c r="BF406" s="296"/>
      <c r="BG406" s="296"/>
      <c r="BH406" s="296"/>
      <c r="BI406" s="723"/>
      <c r="BJ406" s="723"/>
      <c r="BK406" s="723"/>
      <c r="BL406" s="723"/>
      <c r="BM406" s="723"/>
      <c r="BN406" s="723"/>
      <c r="BO406" s="723"/>
      <c r="BP406" s="723"/>
      <c r="BQ406" s="723"/>
      <c r="BR406" s="723"/>
      <c r="BS406" s="723"/>
      <c r="BT406" s="723"/>
      <c r="BU406" s="723"/>
      <c r="BV406" s="723"/>
      <c r="BW406" s="723"/>
      <c r="BX406" s="723"/>
      <c r="BY406" s="516"/>
      <c r="BZ406" s="723"/>
      <c r="CA406" s="723"/>
      <c r="CB406" s="516">
        <v>189000</v>
      </c>
      <c r="CC406" s="297">
        <v>240</v>
      </c>
      <c r="CD406" s="723"/>
    </row>
    <row r="407" spans="1:82" ht="22.5" x14ac:dyDescent="0.2">
      <c r="A407" s="727"/>
      <c r="B407" s="292" t="s">
        <v>1381</v>
      </c>
      <c r="C407" s="329" t="s">
        <v>1023</v>
      </c>
      <c r="D407" s="314"/>
      <c r="E407" s="703"/>
      <c r="F407" s="294" t="s">
        <v>1022</v>
      </c>
      <c r="G407" s="296"/>
      <c r="H407" s="296"/>
      <c r="I407" s="296"/>
      <c r="J407" s="299">
        <f t="shared" si="116"/>
        <v>53</v>
      </c>
      <c r="K407" s="299">
        <f t="shared" si="116"/>
        <v>14</v>
      </c>
      <c r="L407" s="299">
        <f t="shared" si="116"/>
        <v>67</v>
      </c>
      <c r="M407" s="299">
        <v>53</v>
      </c>
      <c r="N407" s="299">
        <v>14</v>
      </c>
      <c r="O407" s="299">
        <f t="shared" si="125"/>
        <v>67</v>
      </c>
      <c r="P407" s="296">
        <f t="shared" si="128"/>
        <v>0</v>
      </c>
      <c r="Q407" s="296">
        <f t="shared" si="128"/>
        <v>0</v>
      </c>
      <c r="R407" s="296">
        <f t="shared" si="128"/>
        <v>0</v>
      </c>
      <c r="S407" s="296">
        <v>53</v>
      </c>
      <c r="T407" s="296">
        <v>14</v>
      </c>
      <c r="U407" s="296">
        <f t="shared" si="126"/>
        <v>67</v>
      </c>
      <c r="V407" s="296"/>
      <c r="W407" s="296"/>
      <c r="X407" s="296"/>
      <c r="Y407" s="296">
        <v>53</v>
      </c>
      <c r="Z407" s="296">
        <v>14</v>
      </c>
      <c r="AA407" s="296">
        <v>67</v>
      </c>
      <c r="AB407" s="296">
        <f t="shared" si="124"/>
        <v>0</v>
      </c>
      <c r="AC407" s="296">
        <f t="shared" si="124"/>
        <v>0</v>
      </c>
      <c r="AD407" s="296">
        <f t="shared" si="124"/>
        <v>0</v>
      </c>
      <c r="AE407" s="296">
        <v>53</v>
      </c>
      <c r="AF407" s="296">
        <v>14</v>
      </c>
      <c r="AG407" s="296">
        <f t="shared" si="127"/>
        <v>67</v>
      </c>
      <c r="AH407" s="299"/>
      <c r="AI407" s="296"/>
      <c r="AJ407" s="299"/>
      <c r="AK407" s="321"/>
      <c r="AL407" s="321"/>
      <c r="AM407" s="321"/>
      <c r="AN407" s="321"/>
      <c r="AO407" s="321"/>
      <c r="AP407" s="321"/>
      <c r="AQ407" s="296"/>
      <c r="AR407" s="296"/>
      <c r="AS407" s="296"/>
      <c r="AT407" s="296"/>
      <c r="AU407" s="296"/>
      <c r="AV407" s="296"/>
      <c r="AW407" s="296"/>
      <c r="AX407" s="296"/>
      <c r="AY407" s="296"/>
      <c r="AZ407" s="296"/>
      <c r="BA407" s="296"/>
      <c r="BB407" s="296"/>
      <c r="BC407" s="499"/>
      <c r="BD407" s="499"/>
      <c r="BE407" s="499"/>
      <c r="BF407" s="296"/>
      <c r="BG407" s="296"/>
      <c r="BH407" s="296"/>
      <c r="BI407" s="723"/>
      <c r="BJ407" s="723"/>
      <c r="BK407" s="723"/>
      <c r="BL407" s="723"/>
      <c r="BM407" s="723"/>
      <c r="BN407" s="723"/>
      <c r="BO407" s="723"/>
      <c r="BP407" s="723"/>
      <c r="BQ407" s="723"/>
      <c r="BR407" s="723"/>
      <c r="BS407" s="723"/>
      <c r="BT407" s="723"/>
      <c r="BU407" s="723"/>
      <c r="BV407" s="723"/>
      <c r="BW407" s="723"/>
      <c r="BX407" s="723"/>
      <c r="BY407" s="516"/>
      <c r="BZ407" s="723"/>
      <c r="CA407" s="723"/>
      <c r="CB407" s="516">
        <v>52500</v>
      </c>
      <c r="CC407" s="297">
        <v>67</v>
      </c>
      <c r="CD407" s="723"/>
    </row>
    <row r="408" spans="1:82" ht="13.5" customHeight="1" x14ac:dyDescent="0.2">
      <c r="A408" s="727"/>
      <c r="B408" s="292" t="s">
        <v>1381</v>
      </c>
      <c r="C408" s="329" t="s">
        <v>1024</v>
      </c>
      <c r="D408" s="314"/>
      <c r="E408" s="703"/>
      <c r="F408" s="294" t="s">
        <v>1025</v>
      </c>
      <c r="G408" s="296"/>
      <c r="H408" s="296"/>
      <c r="I408" s="296"/>
      <c r="J408" s="299">
        <f t="shared" si="116"/>
        <v>4199</v>
      </c>
      <c r="K408" s="299">
        <f t="shared" si="116"/>
        <v>1134</v>
      </c>
      <c r="L408" s="299">
        <f t="shared" si="116"/>
        <v>5333</v>
      </c>
      <c r="M408" s="299">
        <v>4199</v>
      </c>
      <c r="N408" s="299">
        <v>1134</v>
      </c>
      <c r="O408" s="299">
        <f t="shared" si="125"/>
        <v>5333</v>
      </c>
      <c r="P408" s="296">
        <f t="shared" si="128"/>
        <v>-3769</v>
      </c>
      <c r="Q408" s="296">
        <f t="shared" si="128"/>
        <v>-1018</v>
      </c>
      <c r="R408" s="296">
        <f t="shared" si="128"/>
        <v>-4787</v>
      </c>
      <c r="S408" s="296">
        <v>430</v>
      </c>
      <c r="T408" s="296">
        <v>116</v>
      </c>
      <c r="U408" s="296">
        <f t="shared" si="126"/>
        <v>546</v>
      </c>
      <c r="V408" s="296"/>
      <c r="W408" s="296"/>
      <c r="X408" s="296"/>
      <c r="Y408" s="296">
        <v>430</v>
      </c>
      <c r="Z408" s="296">
        <v>116</v>
      </c>
      <c r="AA408" s="296">
        <v>546</v>
      </c>
      <c r="AB408" s="296">
        <f t="shared" si="124"/>
        <v>0</v>
      </c>
      <c r="AC408" s="296">
        <f t="shared" si="124"/>
        <v>0</v>
      </c>
      <c r="AD408" s="296">
        <f t="shared" si="124"/>
        <v>0</v>
      </c>
      <c r="AE408" s="296">
        <v>430</v>
      </c>
      <c r="AF408" s="296">
        <v>116</v>
      </c>
      <c r="AG408" s="296">
        <f t="shared" si="127"/>
        <v>546</v>
      </c>
      <c r="AH408" s="299"/>
      <c r="AI408" s="296"/>
      <c r="AJ408" s="299"/>
      <c r="AK408" s="321"/>
      <c r="AL408" s="321"/>
      <c r="AM408" s="321"/>
      <c r="AN408" s="321"/>
      <c r="AO408" s="321"/>
      <c r="AP408" s="321"/>
      <c r="AQ408" s="296"/>
      <c r="AR408" s="296"/>
      <c r="AS408" s="296"/>
      <c r="AT408" s="296"/>
      <c r="AU408" s="296"/>
      <c r="AV408" s="296"/>
      <c r="AW408" s="296"/>
      <c r="AX408" s="296"/>
      <c r="AY408" s="296"/>
      <c r="AZ408" s="296"/>
      <c r="BA408" s="296"/>
      <c r="BB408" s="296"/>
      <c r="BC408" s="499"/>
      <c r="BD408" s="499"/>
      <c r="BE408" s="499"/>
      <c r="BF408" s="296"/>
      <c r="BG408" s="296"/>
      <c r="BH408" s="296"/>
      <c r="BI408" s="723"/>
      <c r="BJ408" s="723"/>
      <c r="BK408" s="723"/>
      <c r="BL408" s="723"/>
      <c r="BM408" s="723"/>
      <c r="BN408" s="723"/>
      <c r="BO408" s="723"/>
      <c r="BP408" s="723"/>
      <c r="BQ408" s="723"/>
      <c r="BR408" s="723"/>
      <c r="BS408" s="723"/>
      <c r="BT408" s="723"/>
      <c r="BU408" s="723"/>
      <c r="BV408" s="723"/>
      <c r="BW408" s="723"/>
      <c r="BX408" s="723"/>
      <c r="BY408" s="516"/>
      <c r="BZ408" s="723"/>
      <c r="CA408" s="723"/>
      <c r="CB408" s="516">
        <v>430000</v>
      </c>
      <c r="CC408" s="297">
        <v>546</v>
      </c>
      <c r="CD408" s="723"/>
    </row>
    <row r="409" spans="1:82" ht="22.5" x14ac:dyDescent="0.2">
      <c r="A409" s="727"/>
      <c r="B409" s="292" t="s">
        <v>1381</v>
      </c>
      <c r="C409" s="329" t="s">
        <v>1026</v>
      </c>
      <c r="D409" s="314"/>
      <c r="E409" s="703"/>
      <c r="F409" s="294" t="s">
        <v>1027</v>
      </c>
      <c r="G409" s="296"/>
      <c r="H409" s="296"/>
      <c r="I409" s="296"/>
      <c r="J409" s="299">
        <f t="shared" si="116"/>
        <v>4200</v>
      </c>
      <c r="K409" s="299">
        <f t="shared" si="116"/>
        <v>1134</v>
      </c>
      <c r="L409" s="299">
        <f t="shared" si="116"/>
        <v>5334</v>
      </c>
      <c r="M409" s="299">
        <v>4200</v>
      </c>
      <c r="N409" s="299">
        <v>1134</v>
      </c>
      <c r="O409" s="299">
        <f t="shared" si="125"/>
        <v>5334</v>
      </c>
      <c r="P409" s="296">
        <f t="shared" si="128"/>
        <v>0</v>
      </c>
      <c r="Q409" s="296">
        <f t="shared" si="128"/>
        <v>0</v>
      </c>
      <c r="R409" s="296">
        <f t="shared" si="128"/>
        <v>0</v>
      </c>
      <c r="S409" s="296">
        <v>4200</v>
      </c>
      <c r="T409" s="296">
        <v>1134</v>
      </c>
      <c r="U409" s="296">
        <f t="shared" si="126"/>
        <v>5334</v>
      </c>
      <c r="V409" s="296"/>
      <c r="W409" s="296"/>
      <c r="X409" s="296"/>
      <c r="Y409" s="296">
        <v>4200</v>
      </c>
      <c r="Z409" s="296">
        <v>1134</v>
      </c>
      <c r="AA409" s="296">
        <v>5334</v>
      </c>
      <c r="AB409" s="296">
        <f t="shared" si="124"/>
        <v>4935</v>
      </c>
      <c r="AC409" s="296">
        <f t="shared" si="124"/>
        <v>1332</v>
      </c>
      <c r="AD409" s="296">
        <f t="shared" si="124"/>
        <v>6267</v>
      </c>
      <c r="AE409" s="296">
        <v>9135</v>
      </c>
      <c r="AF409" s="296">
        <v>2466</v>
      </c>
      <c r="AG409" s="296">
        <f t="shared" si="127"/>
        <v>11601</v>
      </c>
      <c r="AH409" s="299"/>
      <c r="AI409" s="296"/>
      <c r="AJ409" s="299"/>
      <c r="AK409" s="321"/>
      <c r="AL409" s="321"/>
      <c r="AM409" s="321"/>
      <c r="AN409" s="321"/>
      <c r="AO409" s="321"/>
      <c r="AP409" s="321"/>
      <c r="AQ409" s="296"/>
      <c r="AR409" s="296"/>
      <c r="AS409" s="296"/>
      <c r="AT409" s="296"/>
      <c r="AU409" s="296"/>
      <c r="AV409" s="296"/>
      <c r="AW409" s="296"/>
      <c r="AX409" s="296"/>
      <c r="AY409" s="296"/>
      <c r="AZ409" s="296"/>
      <c r="BA409" s="296"/>
      <c r="BB409" s="296"/>
      <c r="BC409" s="499"/>
      <c r="BD409" s="499"/>
      <c r="BE409" s="499"/>
      <c r="BF409" s="296"/>
      <c r="BG409" s="296"/>
      <c r="BH409" s="296"/>
      <c r="BI409" s="723"/>
      <c r="BJ409" s="723"/>
      <c r="BK409" s="723"/>
      <c r="BL409" s="723"/>
      <c r="BM409" s="723"/>
      <c r="BN409" s="723"/>
      <c r="BO409" s="723"/>
      <c r="BP409" s="723"/>
      <c r="BQ409" s="723"/>
      <c r="BR409" s="723"/>
      <c r="BS409" s="723"/>
      <c r="BT409" s="723"/>
      <c r="BU409" s="723"/>
      <c r="BV409" s="723"/>
      <c r="BW409" s="723"/>
      <c r="BX409" s="723"/>
      <c r="BY409" s="516"/>
      <c r="BZ409" s="723"/>
      <c r="CA409" s="723"/>
      <c r="CB409" s="516">
        <v>9135000</v>
      </c>
      <c r="CC409" s="297">
        <v>11602</v>
      </c>
      <c r="CD409" s="723"/>
    </row>
    <row r="410" spans="1:82" ht="22.5" x14ac:dyDescent="0.2">
      <c r="A410" s="727"/>
      <c r="B410" s="292" t="s">
        <v>1381</v>
      </c>
      <c r="C410" s="329" t="s">
        <v>1260</v>
      </c>
      <c r="D410" s="314"/>
      <c r="E410" s="703"/>
      <c r="F410" s="294" t="s">
        <v>1261</v>
      </c>
      <c r="G410" s="296"/>
      <c r="H410" s="296"/>
      <c r="I410" s="296"/>
      <c r="J410" s="299"/>
      <c r="K410" s="299"/>
      <c r="L410" s="299"/>
      <c r="M410" s="299"/>
      <c r="N410" s="299"/>
      <c r="O410" s="299"/>
      <c r="P410" s="296">
        <f t="shared" si="128"/>
        <v>3769</v>
      </c>
      <c r="Q410" s="296">
        <f t="shared" si="128"/>
        <v>1017</v>
      </c>
      <c r="R410" s="296">
        <f t="shared" si="128"/>
        <v>4786</v>
      </c>
      <c r="S410" s="296">
        <v>3769</v>
      </c>
      <c r="T410" s="296">
        <v>1017</v>
      </c>
      <c r="U410" s="296">
        <f t="shared" si="126"/>
        <v>4786</v>
      </c>
      <c r="V410" s="296"/>
      <c r="W410" s="296"/>
      <c r="X410" s="296"/>
      <c r="Y410" s="296">
        <v>3769</v>
      </c>
      <c r="Z410" s="296">
        <v>1017</v>
      </c>
      <c r="AA410" s="296">
        <v>4786</v>
      </c>
      <c r="AB410" s="296">
        <f t="shared" ref="AB410:AD425" si="129">AE410-S410</f>
        <v>305</v>
      </c>
      <c r="AC410" s="296">
        <f t="shared" si="129"/>
        <v>83</v>
      </c>
      <c r="AD410" s="296">
        <f t="shared" si="129"/>
        <v>388</v>
      </c>
      <c r="AE410" s="296">
        <v>4074</v>
      </c>
      <c r="AF410" s="296">
        <v>1100</v>
      </c>
      <c r="AG410" s="296">
        <f t="shared" si="127"/>
        <v>5174</v>
      </c>
      <c r="AH410" s="299"/>
      <c r="AI410" s="296"/>
      <c r="AJ410" s="299"/>
      <c r="AK410" s="321"/>
      <c r="AL410" s="321"/>
      <c r="AM410" s="321"/>
      <c r="AN410" s="321"/>
      <c r="AO410" s="321"/>
      <c r="AP410" s="321"/>
      <c r="AQ410" s="296"/>
      <c r="AR410" s="296"/>
      <c r="AS410" s="296"/>
      <c r="AT410" s="296"/>
      <c r="AU410" s="296"/>
      <c r="AV410" s="296"/>
      <c r="AW410" s="296"/>
      <c r="AX410" s="296"/>
      <c r="AY410" s="296"/>
      <c r="AZ410" s="296"/>
      <c r="BA410" s="296"/>
      <c r="BB410" s="296"/>
      <c r="BC410" s="499"/>
      <c r="BD410" s="499"/>
      <c r="BE410" s="499"/>
      <c r="BF410" s="296"/>
      <c r="BG410" s="296"/>
      <c r="BH410" s="296"/>
      <c r="BI410" s="723"/>
      <c r="BJ410" s="723"/>
      <c r="BK410" s="723"/>
      <c r="BL410" s="723"/>
      <c r="BM410" s="723"/>
      <c r="BN410" s="723"/>
      <c r="BO410" s="723"/>
      <c r="BP410" s="510"/>
      <c r="BQ410" s="723"/>
      <c r="BR410" s="723"/>
      <c r="BS410" s="723"/>
      <c r="BT410" s="723"/>
      <c r="BU410" s="723"/>
      <c r="BV410" s="723"/>
      <c r="BW410" s="723"/>
      <c r="BX410" s="723"/>
      <c r="BY410" s="516"/>
      <c r="BZ410" s="723"/>
      <c r="CA410" s="723"/>
      <c r="CB410" s="516">
        <v>4073565</v>
      </c>
      <c r="CC410" s="297">
        <v>5173</v>
      </c>
      <c r="CD410" s="723"/>
    </row>
    <row r="411" spans="1:82" ht="33.75" x14ac:dyDescent="0.2">
      <c r="A411" s="727"/>
      <c r="B411" s="292" t="s">
        <v>1381</v>
      </c>
      <c r="C411" s="293" t="s">
        <v>1156</v>
      </c>
      <c r="D411" s="314"/>
      <c r="E411" s="703"/>
      <c r="F411" s="294" t="s">
        <v>1262</v>
      </c>
      <c r="G411" s="296"/>
      <c r="H411" s="296"/>
      <c r="I411" s="296"/>
      <c r="J411" s="299"/>
      <c r="K411" s="299"/>
      <c r="L411" s="299"/>
      <c r="M411" s="299"/>
      <c r="N411" s="299"/>
      <c r="O411" s="299"/>
      <c r="P411" s="296">
        <f t="shared" si="128"/>
        <v>7900</v>
      </c>
      <c r="Q411" s="296">
        <f t="shared" si="128"/>
        <v>2133</v>
      </c>
      <c r="R411" s="296">
        <f t="shared" si="128"/>
        <v>10033</v>
      </c>
      <c r="S411" s="296">
        <v>7900</v>
      </c>
      <c r="T411" s="296">
        <v>2133</v>
      </c>
      <c r="U411" s="296">
        <f t="shared" si="126"/>
        <v>10033</v>
      </c>
      <c r="V411" s="296"/>
      <c r="W411" s="296"/>
      <c r="X411" s="296"/>
      <c r="Y411" s="296">
        <v>7900</v>
      </c>
      <c r="Z411" s="296">
        <v>2133</v>
      </c>
      <c r="AA411" s="296">
        <v>10033</v>
      </c>
      <c r="AB411" s="296">
        <f t="shared" si="129"/>
        <v>-7900</v>
      </c>
      <c r="AC411" s="296">
        <f t="shared" si="129"/>
        <v>-2133</v>
      </c>
      <c r="AD411" s="296">
        <f t="shared" si="129"/>
        <v>-10033</v>
      </c>
      <c r="AE411" s="296">
        <v>0</v>
      </c>
      <c r="AF411" s="296">
        <v>0</v>
      </c>
      <c r="AG411" s="296">
        <f t="shared" si="127"/>
        <v>0</v>
      </c>
      <c r="AH411" s="299"/>
      <c r="AI411" s="296"/>
      <c r="AJ411" s="299"/>
      <c r="AK411" s="321"/>
      <c r="AL411" s="321"/>
      <c r="AM411" s="321"/>
      <c r="AN411" s="321"/>
      <c r="AO411" s="321"/>
      <c r="AP411" s="321"/>
      <c r="AQ411" s="296"/>
      <c r="AR411" s="296"/>
      <c r="AS411" s="296"/>
      <c r="AT411" s="296"/>
      <c r="AU411" s="296"/>
      <c r="AV411" s="296"/>
      <c r="AW411" s="296"/>
      <c r="AX411" s="296"/>
      <c r="AY411" s="296"/>
      <c r="AZ411" s="296"/>
      <c r="BA411" s="296"/>
      <c r="BB411" s="296"/>
      <c r="BC411" s="499"/>
      <c r="BD411" s="499"/>
      <c r="BE411" s="499"/>
      <c r="BF411" s="296"/>
      <c r="BG411" s="296"/>
      <c r="BH411" s="296"/>
      <c r="BI411" s="723"/>
      <c r="BJ411" s="723"/>
      <c r="BK411" s="723"/>
      <c r="BL411" s="723"/>
      <c r="BM411" s="723"/>
      <c r="BN411" s="723"/>
      <c r="BO411" s="723"/>
      <c r="BP411" s="510"/>
      <c r="BQ411" s="723"/>
      <c r="BR411" s="723"/>
      <c r="BS411" s="723"/>
      <c r="BT411" s="723"/>
      <c r="BU411" s="723"/>
      <c r="BV411" s="723"/>
      <c r="BW411" s="723"/>
      <c r="BX411" s="723"/>
      <c r="BY411" s="516"/>
      <c r="BZ411" s="723"/>
      <c r="CA411" s="723"/>
      <c r="CB411" s="516">
        <v>0</v>
      </c>
      <c r="CC411" s="297">
        <v>0</v>
      </c>
      <c r="CD411" s="723"/>
    </row>
    <row r="412" spans="1:82" ht="26.25" customHeight="1" x14ac:dyDescent="0.2">
      <c r="A412" s="727"/>
      <c r="B412" s="292" t="s">
        <v>1381</v>
      </c>
      <c r="C412" s="293" t="s">
        <v>1156</v>
      </c>
      <c r="D412" s="314"/>
      <c r="E412" s="703"/>
      <c r="F412" s="294" t="s">
        <v>1263</v>
      </c>
      <c r="G412" s="296"/>
      <c r="H412" s="296"/>
      <c r="I412" s="296"/>
      <c r="J412" s="299"/>
      <c r="K412" s="299"/>
      <c r="L412" s="299"/>
      <c r="M412" s="299"/>
      <c r="N412" s="299"/>
      <c r="O412" s="299"/>
      <c r="P412" s="296">
        <f t="shared" si="128"/>
        <v>7900</v>
      </c>
      <c r="Q412" s="296">
        <f t="shared" si="128"/>
        <v>2133</v>
      </c>
      <c r="R412" s="296">
        <f t="shared" si="128"/>
        <v>10033</v>
      </c>
      <c r="S412" s="296">
        <v>7900</v>
      </c>
      <c r="T412" s="296">
        <v>2133</v>
      </c>
      <c r="U412" s="296">
        <f t="shared" si="126"/>
        <v>10033</v>
      </c>
      <c r="V412" s="296"/>
      <c r="W412" s="296"/>
      <c r="X412" s="296"/>
      <c r="Y412" s="296">
        <v>7900</v>
      </c>
      <c r="Z412" s="296">
        <v>2133</v>
      </c>
      <c r="AA412" s="296">
        <v>10033</v>
      </c>
      <c r="AB412" s="296">
        <f t="shared" si="129"/>
        <v>-7900</v>
      </c>
      <c r="AC412" s="296">
        <f t="shared" si="129"/>
        <v>-2133</v>
      </c>
      <c r="AD412" s="296">
        <f t="shared" si="129"/>
        <v>-10033</v>
      </c>
      <c r="AE412" s="296">
        <v>0</v>
      </c>
      <c r="AF412" s="296">
        <v>0</v>
      </c>
      <c r="AG412" s="296">
        <f t="shared" si="127"/>
        <v>0</v>
      </c>
      <c r="AH412" s="299"/>
      <c r="AI412" s="296"/>
      <c r="AJ412" s="299"/>
      <c r="AK412" s="321"/>
      <c r="AL412" s="321"/>
      <c r="AM412" s="321"/>
      <c r="AN412" s="321"/>
      <c r="AO412" s="321"/>
      <c r="AP412" s="321"/>
      <c r="AQ412" s="296"/>
      <c r="AR412" s="296"/>
      <c r="AS412" s="296"/>
      <c r="AT412" s="296"/>
      <c r="AU412" s="296"/>
      <c r="AV412" s="296"/>
      <c r="AW412" s="296"/>
      <c r="AX412" s="296"/>
      <c r="AY412" s="296"/>
      <c r="AZ412" s="296"/>
      <c r="BA412" s="296"/>
      <c r="BB412" s="296"/>
      <c r="BC412" s="499"/>
      <c r="BD412" s="499"/>
      <c r="BE412" s="499"/>
      <c r="BF412" s="296"/>
      <c r="BG412" s="296"/>
      <c r="BH412" s="296"/>
      <c r="BI412" s="723"/>
      <c r="BJ412" s="723"/>
      <c r="BK412" s="723"/>
      <c r="BL412" s="723"/>
      <c r="BM412" s="723"/>
      <c r="BN412" s="723"/>
      <c r="BO412" s="723"/>
      <c r="BP412" s="510"/>
      <c r="BQ412" s="723"/>
      <c r="BR412" s="723"/>
      <c r="BS412" s="723"/>
      <c r="BT412" s="723"/>
      <c r="BU412" s="723"/>
      <c r="BV412" s="723"/>
      <c r="BW412" s="723"/>
      <c r="BX412" s="723"/>
      <c r="BY412" s="516"/>
      <c r="BZ412" s="723"/>
      <c r="CA412" s="723"/>
      <c r="CB412" s="516">
        <v>0</v>
      </c>
      <c r="CC412" s="297">
        <v>0</v>
      </c>
      <c r="CD412" s="723"/>
    </row>
    <row r="413" spans="1:82" x14ac:dyDescent="0.2">
      <c r="A413" s="727"/>
      <c r="B413" s="292" t="s">
        <v>1381</v>
      </c>
      <c r="C413" s="293" t="s">
        <v>1597</v>
      </c>
      <c r="D413" s="314"/>
      <c r="E413" s="703"/>
      <c r="F413" s="294" t="s">
        <v>1598</v>
      </c>
      <c r="G413" s="296"/>
      <c r="H413" s="296"/>
      <c r="I413" s="296"/>
      <c r="J413" s="299"/>
      <c r="K413" s="299"/>
      <c r="L413" s="299"/>
      <c r="M413" s="299"/>
      <c r="N413" s="299"/>
      <c r="O413" s="299"/>
      <c r="P413" s="296"/>
      <c r="Q413" s="296"/>
      <c r="R413" s="296"/>
      <c r="S413" s="296"/>
      <c r="T413" s="296"/>
      <c r="U413" s="296"/>
      <c r="V413" s="296"/>
      <c r="W413" s="296"/>
      <c r="X413" s="296"/>
      <c r="Y413" s="296"/>
      <c r="Z413" s="296"/>
      <c r="AA413" s="296"/>
      <c r="AB413" s="296">
        <f t="shared" si="129"/>
        <v>116</v>
      </c>
      <c r="AC413" s="296">
        <f t="shared" si="129"/>
        <v>31</v>
      </c>
      <c r="AD413" s="296">
        <f t="shared" si="129"/>
        <v>147</v>
      </c>
      <c r="AE413" s="296">
        <v>116</v>
      </c>
      <c r="AF413" s="296">
        <v>31</v>
      </c>
      <c r="AG413" s="296">
        <f t="shared" si="127"/>
        <v>147</v>
      </c>
      <c r="AH413" s="299"/>
      <c r="AI413" s="296"/>
      <c r="AJ413" s="299"/>
      <c r="AK413" s="321"/>
      <c r="AL413" s="321"/>
      <c r="AM413" s="321"/>
      <c r="AN413" s="321"/>
      <c r="AO413" s="321"/>
      <c r="AP413" s="321"/>
      <c r="AQ413" s="296"/>
      <c r="AR413" s="296"/>
      <c r="AS413" s="296"/>
      <c r="AT413" s="296"/>
      <c r="AU413" s="296"/>
      <c r="AV413" s="296"/>
      <c r="AW413" s="296"/>
      <c r="AX413" s="296"/>
      <c r="AY413" s="296"/>
      <c r="AZ413" s="296"/>
      <c r="BA413" s="296"/>
      <c r="BB413" s="296"/>
      <c r="BC413" s="499"/>
      <c r="BD413" s="499"/>
      <c r="BE413" s="499"/>
      <c r="BF413" s="296"/>
      <c r="BG413" s="296"/>
      <c r="BH413" s="296"/>
      <c r="BI413" s="723"/>
      <c r="BJ413" s="723"/>
      <c r="BK413" s="723"/>
      <c r="BL413" s="723"/>
      <c r="BM413" s="723"/>
      <c r="BN413" s="723"/>
      <c r="BO413" s="723"/>
      <c r="BP413" s="510"/>
      <c r="BQ413" s="723"/>
      <c r="BR413" s="723"/>
      <c r="BS413" s="723"/>
      <c r="BT413" s="723"/>
      <c r="BU413" s="723"/>
      <c r="BV413" s="723"/>
      <c r="BW413" s="723"/>
      <c r="BX413" s="723"/>
      <c r="BY413" s="516"/>
      <c r="BZ413" s="723"/>
      <c r="CA413" s="723"/>
      <c r="CB413" s="516">
        <v>115800</v>
      </c>
      <c r="CC413" s="297">
        <v>147</v>
      </c>
      <c r="CD413" s="723"/>
    </row>
    <row r="414" spans="1:82" ht="22.5" x14ac:dyDescent="0.2">
      <c r="A414" s="727"/>
      <c r="B414" s="292" t="s">
        <v>1381</v>
      </c>
      <c r="C414" s="293" t="s">
        <v>1599</v>
      </c>
      <c r="D414" s="314"/>
      <c r="E414" s="703"/>
      <c r="F414" s="294" t="s">
        <v>1600</v>
      </c>
      <c r="G414" s="296"/>
      <c r="H414" s="296"/>
      <c r="I414" s="296"/>
      <c r="J414" s="299"/>
      <c r="K414" s="299"/>
      <c r="L414" s="299"/>
      <c r="M414" s="299"/>
      <c r="N414" s="299"/>
      <c r="O414" s="299"/>
      <c r="P414" s="296"/>
      <c r="Q414" s="296"/>
      <c r="R414" s="296"/>
      <c r="S414" s="296"/>
      <c r="T414" s="296"/>
      <c r="U414" s="296"/>
      <c r="V414" s="296"/>
      <c r="W414" s="296"/>
      <c r="X414" s="296"/>
      <c r="Y414" s="296"/>
      <c r="Z414" s="296"/>
      <c r="AA414" s="296"/>
      <c r="AB414" s="296">
        <f t="shared" si="129"/>
        <v>670</v>
      </c>
      <c r="AC414" s="296">
        <f t="shared" si="129"/>
        <v>181</v>
      </c>
      <c r="AD414" s="296">
        <f t="shared" si="129"/>
        <v>851</v>
      </c>
      <c r="AE414" s="296">
        <v>670</v>
      </c>
      <c r="AF414" s="296">
        <v>181</v>
      </c>
      <c r="AG414" s="296">
        <f t="shared" si="127"/>
        <v>851</v>
      </c>
      <c r="AH414" s="299"/>
      <c r="AI414" s="296"/>
      <c r="AJ414" s="299"/>
      <c r="AK414" s="321"/>
      <c r="AL414" s="321"/>
      <c r="AM414" s="321"/>
      <c r="AN414" s="321"/>
      <c r="AO414" s="321"/>
      <c r="AP414" s="321"/>
      <c r="AQ414" s="296"/>
      <c r="AR414" s="296"/>
      <c r="AS414" s="296"/>
      <c r="AT414" s="296"/>
      <c r="AU414" s="296"/>
      <c r="AV414" s="296"/>
      <c r="AW414" s="296"/>
      <c r="AX414" s="296"/>
      <c r="AY414" s="296"/>
      <c r="AZ414" s="296"/>
      <c r="BA414" s="296"/>
      <c r="BB414" s="296"/>
      <c r="BC414" s="499"/>
      <c r="BD414" s="499"/>
      <c r="BE414" s="499"/>
      <c r="BF414" s="296"/>
      <c r="BG414" s="296"/>
      <c r="BH414" s="296"/>
      <c r="BI414" s="723"/>
      <c r="BJ414" s="723"/>
      <c r="BK414" s="723"/>
      <c r="BL414" s="723"/>
      <c r="BM414" s="723"/>
      <c r="BN414" s="723"/>
      <c r="BO414" s="723"/>
      <c r="BP414" s="510"/>
      <c r="BQ414" s="723"/>
      <c r="BR414" s="723"/>
      <c r="BS414" s="723"/>
      <c r="BT414" s="723"/>
      <c r="BU414" s="723"/>
      <c r="BV414" s="723"/>
      <c r="BW414" s="723"/>
      <c r="BX414" s="723"/>
      <c r="BY414" s="516"/>
      <c r="BZ414" s="723"/>
      <c r="CA414" s="723"/>
      <c r="CB414" s="516">
        <v>670000</v>
      </c>
      <c r="CC414" s="297">
        <v>851</v>
      </c>
      <c r="CD414" s="724"/>
    </row>
    <row r="415" spans="1:82" ht="12" customHeight="1" x14ac:dyDescent="0.2">
      <c r="A415" s="702" t="s">
        <v>1028</v>
      </c>
      <c r="B415" s="292" t="s">
        <v>1429</v>
      </c>
      <c r="C415" s="293" t="s">
        <v>1601</v>
      </c>
      <c r="D415" s="512"/>
      <c r="E415" s="702" t="s">
        <v>1029</v>
      </c>
      <c r="F415" s="294" t="s">
        <v>1602</v>
      </c>
      <c r="G415" s="296">
        <v>188976</v>
      </c>
      <c r="H415" s="296">
        <v>51024</v>
      </c>
      <c r="I415" s="296">
        <f>SUM(G415:H415)</f>
        <v>240000</v>
      </c>
      <c r="J415" s="296">
        <f t="shared" ref="J415:L419" si="130">M415-G415</f>
        <v>-29537</v>
      </c>
      <c r="K415" s="296">
        <f t="shared" si="130"/>
        <v>-7974</v>
      </c>
      <c r="L415" s="296">
        <f t="shared" si="130"/>
        <v>-37511</v>
      </c>
      <c r="M415" s="296">
        <f>G415-SUM(J416:J419)</f>
        <v>159439</v>
      </c>
      <c r="N415" s="296">
        <f>H415-SUM(K416:K419)</f>
        <v>43050</v>
      </c>
      <c r="O415" s="296">
        <f>I415-SUM(L416:L419)</f>
        <v>202489</v>
      </c>
      <c r="P415" s="499">
        <f t="shared" si="128"/>
        <v>-547</v>
      </c>
      <c r="Q415" s="499">
        <f t="shared" si="128"/>
        <v>-145</v>
      </c>
      <c r="R415" s="499">
        <f t="shared" si="128"/>
        <v>-692</v>
      </c>
      <c r="S415" s="296">
        <f>M415-SUM(P416:P425)</f>
        <v>158892</v>
      </c>
      <c r="T415" s="296">
        <f>N415-SUM(Q416:Q425)</f>
        <v>42905</v>
      </c>
      <c r="U415" s="296">
        <f>O415-SUM(R416:R425)</f>
        <v>201797</v>
      </c>
      <c r="V415" s="296"/>
      <c r="W415" s="296"/>
      <c r="X415" s="296"/>
      <c r="Y415" s="296">
        <v>158892</v>
      </c>
      <c r="Z415" s="296">
        <v>42905</v>
      </c>
      <c r="AA415" s="296">
        <v>201797</v>
      </c>
      <c r="AB415" s="296">
        <f t="shared" si="129"/>
        <v>-1412</v>
      </c>
      <c r="AC415" s="296">
        <f t="shared" si="129"/>
        <v>-385</v>
      </c>
      <c r="AD415" s="296">
        <f t="shared" si="129"/>
        <v>-1797</v>
      </c>
      <c r="AE415" s="296">
        <v>157480</v>
      </c>
      <c r="AF415" s="296">
        <v>42520</v>
      </c>
      <c r="AG415" s="296">
        <f>SUBTOTAL(9,AE415:AF415)</f>
        <v>200000</v>
      </c>
      <c r="AH415" s="296"/>
      <c r="AI415" s="296"/>
      <c r="AJ415" s="298"/>
      <c r="AK415" s="298"/>
      <c r="AL415" s="298"/>
      <c r="AM415" s="298"/>
      <c r="AN415" s="298"/>
      <c r="AO415" s="298"/>
      <c r="AP415" s="298"/>
      <c r="AQ415" s="298"/>
      <c r="AR415" s="298"/>
      <c r="AS415" s="298"/>
      <c r="AT415" s="298"/>
      <c r="AU415" s="298"/>
      <c r="AV415" s="298"/>
      <c r="AW415" s="298"/>
      <c r="AX415" s="298"/>
      <c r="AY415" s="298"/>
      <c r="AZ415" s="298"/>
      <c r="BA415" s="298"/>
      <c r="BB415" s="298"/>
      <c r="BC415" s="499"/>
      <c r="BD415" s="499"/>
      <c r="BE415" s="499"/>
      <c r="BF415" s="298"/>
      <c r="BG415" s="298"/>
      <c r="BH415" s="298"/>
      <c r="BI415" s="711">
        <f>SUM(I415:I426)</f>
        <v>240000</v>
      </c>
      <c r="BJ415" s="711">
        <f>SUM(L415:L425)</f>
        <v>-200000</v>
      </c>
      <c r="BK415" s="711">
        <f>SUM(O415:O425)</f>
        <v>40000</v>
      </c>
      <c r="BL415" s="711">
        <f>SUM(R415:R425)</f>
        <v>0</v>
      </c>
      <c r="BM415" s="711">
        <f>SUM(U415:U425)</f>
        <v>40000</v>
      </c>
      <c r="BN415" s="711">
        <f>SUM(AD415:AD425)</f>
        <v>-1796</v>
      </c>
      <c r="BO415" s="711">
        <f>SUM(AA415:AA426)</f>
        <v>40000</v>
      </c>
      <c r="BP415" s="300"/>
      <c r="BQ415" s="711">
        <f>SUM(AG415:AG426)</f>
        <v>38284</v>
      </c>
      <c r="BR415" s="718">
        <f>SUM(AJ415:AJ426)</f>
        <v>0</v>
      </c>
      <c r="BS415" s="718">
        <f>SUM(AM415:AM425)</f>
        <v>0</v>
      </c>
      <c r="BT415" s="718">
        <f>SUM(AP415:AP425)</f>
        <v>0</v>
      </c>
      <c r="BU415" s="718">
        <f>SUM(AS415:AS425)</f>
        <v>0</v>
      </c>
      <c r="BV415" s="718">
        <f>SUM(AV415:AV425)</f>
        <v>0</v>
      </c>
      <c r="BW415" s="711">
        <f>SUM(BE415:BE425)</f>
        <v>0</v>
      </c>
      <c r="BX415" s="718">
        <f>SUM(BB415:BB426)</f>
        <v>0</v>
      </c>
      <c r="BY415" s="300"/>
      <c r="BZ415" s="718">
        <f>SUM(BH415:BH426)</f>
        <v>0</v>
      </c>
      <c r="CA415" s="711">
        <f>SUM(BQ415,BZ415)</f>
        <v>38284</v>
      </c>
      <c r="CB415" s="297">
        <v>0</v>
      </c>
      <c r="CC415" s="297">
        <v>0</v>
      </c>
      <c r="CD415" s="711">
        <f>SUM(CC415:CC426)</f>
        <v>38284</v>
      </c>
    </row>
    <row r="416" spans="1:82" ht="22.5" x14ac:dyDescent="0.2">
      <c r="A416" s="703"/>
      <c r="B416" s="292" t="s">
        <v>1429</v>
      </c>
      <c r="C416" s="293" t="s">
        <v>1030</v>
      </c>
      <c r="D416" s="512"/>
      <c r="E416" s="703"/>
      <c r="F416" s="294" t="s">
        <v>1031</v>
      </c>
      <c r="G416" s="296"/>
      <c r="H416" s="296"/>
      <c r="I416" s="296"/>
      <c r="J416" s="299">
        <f t="shared" si="130"/>
        <v>24490</v>
      </c>
      <c r="K416" s="299">
        <f t="shared" si="130"/>
        <v>6612</v>
      </c>
      <c r="L416" s="299">
        <f t="shared" si="130"/>
        <v>31102</v>
      </c>
      <c r="M416" s="299">
        <v>24490</v>
      </c>
      <c r="N416" s="299">
        <v>6612</v>
      </c>
      <c r="O416" s="299">
        <f t="shared" ref="O416:O421" si="131">SUM(M416:N416)</f>
        <v>31102</v>
      </c>
      <c r="P416" s="499">
        <f t="shared" si="128"/>
        <v>0</v>
      </c>
      <c r="Q416" s="499">
        <f t="shared" si="128"/>
        <v>0</v>
      </c>
      <c r="R416" s="499">
        <f t="shared" si="128"/>
        <v>0</v>
      </c>
      <c r="S416" s="299">
        <v>24490</v>
      </c>
      <c r="T416" s="299">
        <v>6612</v>
      </c>
      <c r="U416" s="299">
        <f t="shared" ref="U416:U425" si="132">SUM(S416:T416)</f>
        <v>31102</v>
      </c>
      <c r="V416" s="299"/>
      <c r="W416" s="299"/>
      <c r="X416" s="299"/>
      <c r="Y416" s="299">
        <v>24490</v>
      </c>
      <c r="Z416" s="299">
        <v>6612</v>
      </c>
      <c r="AA416" s="299">
        <v>31102</v>
      </c>
      <c r="AB416" s="299">
        <f t="shared" si="129"/>
        <v>0</v>
      </c>
      <c r="AC416" s="299">
        <f t="shared" si="129"/>
        <v>0</v>
      </c>
      <c r="AD416" s="299">
        <f t="shared" si="129"/>
        <v>0</v>
      </c>
      <c r="AE416" s="299">
        <v>24490</v>
      </c>
      <c r="AF416" s="299">
        <v>6612</v>
      </c>
      <c r="AG416" s="299">
        <v>31102</v>
      </c>
      <c r="AH416" s="298"/>
      <c r="AI416" s="298"/>
      <c r="AJ416" s="298"/>
      <c r="AK416" s="298"/>
      <c r="AL416" s="298"/>
      <c r="AM416" s="298"/>
      <c r="AN416" s="298"/>
      <c r="AO416" s="298"/>
      <c r="AP416" s="298"/>
      <c r="AQ416" s="298"/>
      <c r="AR416" s="298"/>
      <c r="AS416" s="298"/>
      <c r="AT416" s="298"/>
      <c r="AU416" s="298"/>
      <c r="AV416" s="298"/>
      <c r="AW416" s="298"/>
      <c r="AX416" s="298"/>
      <c r="AY416" s="298"/>
      <c r="AZ416" s="298"/>
      <c r="BA416" s="298"/>
      <c r="BB416" s="298"/>
      <c r="BC416" s="499"/>
      <c r="BD416" s="499"/>
      <c r="BE416" s="499"/>
      <c r="BF416" s="298"/>
      <c r="BG416" s="298"/>
      <c r="BH416" s="298"/>
      <c r="BI416" s="712"/>
      <c r="BJ416" s="712"/>
      <c r="BK416" s="712"/>
      <c r="BL416" s="714"/>
      <c r="BM416" s="714"/>
      <c r="BN416" s="712"/>
      <c r="BO416" s="712"/>
      <c r="BP416" s="300"/>
      <c r="BQ416" s="714"/>
      <c r="BR416" s="714"/>
      <c r="BS416" s="714"/>
      <c r="BT416" s="714"/>
      <c r="BU416" s="714"/>
      <c r="BV416" s="714"/>
      <c r="BW416" s="714"/>
      <c r="BX416" s="714"/>
      <c r="BY416" s="300"/>
      <c r="BZ416" s="714"/>
      <c r="CA416" s="712"/>
      <c r="CB416" s="297">
        <v>24490000</v>
      </c>
      <c r="CC416" s="297">
        <v>31102</v>
      </c>
      <c r="CD416" s="714"/>
    </row>
    <row r="417" spans="1:82" ht="15" customHeight="1" x14ac:dyDescent="0.2">
      <c r="A417" s="703"/>
      <c r="B417" s="292" t="s">
        <v>1429</v>
      </c>
      <c r="C417" s="293" t="s">
        <v>1032</v>
      </c>
      <c r="D417" s="512"/>
      <c r="E417" s="703"/>
      <c r="F417" s="294" t="s">
        <v>1033</v>
      </c>
      <c r="G417" s="296"/>
      <c r="H417" s="296"/>
      <c r="I417" s="296"/>
      <c r="J417" s="299">
        <f t="shared" si="130"/>
        <v>29</v>
      </c>
      <c r="K417" s="299">
        <f t="shared" si="130"/>
        <v>7</v>
      </c>
      <c r="L417" s="299">
        <f t="shared" si="130"/>
        <v>36</v>
      </c>
      <c r="M417" s="299">
        <v>29</v>
      </c>
      <c r="N417" s="299">
        <v>7</v>
      </c>
      <c r="O417" s="299">
        <f t="shared" si="131"/>
        <v>36</v>
      </c>
      <c r="P417" s="499">
        <f t="shared" si="128"/>
        <v>0</v>
      </c>
      <c r="Q417" s="499">
        <f t="shared" si="128"/>
        <v>0</v>
      </c>
      <c r="R417" s="499">
        <f t="shared" si="128"/>
        <v>0</v>
      </c>
      <c r="S417" s="299">
        <v>29</v>
      </c>
      <c r="T417" s="299">
        <v>7</v>
      </c>
      <c r="U417" s="299">
        <f t="shared" si="132"/>
        <v>36</v>
      </c>
      <c r="V417" s="299"/>
      <c r="W417" s="299"/>
      <c r="X417" s="299"/>
      <c r="Y417" s="299">
        <v>29</v>
      </c>
      <c r="Z417" s="299">
        <v>7</v>
      </c>
      <c r="AA417" s="299">
        <v>36</v>
      </c>
      <c r="AB417" s="299">
        <f t="shared" si="129"/>
        <v>0</v>
      </c>
      <c r="AC417" s="299">
        <f t="shared" si="129"/>
        <v>0</v>
      </c>
      <c r="AD417" s="299">
        <f t="shared" si="129"/>
        <v>0</v>
      </c>
      <c r="AE417" s="299">
        <v>29</v>
      </c>
      <c r="AF417" s="299">
        <v>7</v>
      </c>
      <c r="AG417" s="299">
        <v>36</v>
      </c>
      <c r="AH417" s="298"/>
      <c r="AI417" s="298"/>
      <c r="AJ417" s="298"/>
      <c r="AK417" s="298"/>
      <c r="AL417" s="298"/>
      <c r="AM417" s="298"/>
      <c r="AN417" s="298"/>
      <c r="AO417" s="298"/>
      <c r="AP417" s="298"/>
      <c r="AQ417" s="298"/>
      <c r="AR417" s="298"/>
      <c r="AS417" s="298"/>
      <c r="AT417" s="298"/>
      <c r="AU417" s="298"/>
      <c r="AV417" s="298"/>
      <c r="AW417" s="298"/>
      <c r="AX417" s="298"/>
      <c r="AY417" s="298"/>
      <c r="AZ417" s="298"/>
      <c r="BA417" s="298"/>
      <c r="BB417" s="298"/>
      <c r="BC417" s="499"/>
      <c r="BD417" s="499"/>
      <c r="BE417" s="499"/>
      <c r="BF417" s="298"/>
      <c r="BG417" s="298"/>
      <c r="BH417" s="298"/>
      <c r="BI417" s="712"/>
      <c r="BJ417" s="712"/>
      <c r="BK417" s="712"/>
      <c r="BL417" s="714"/>
      <c r="BM417" s="714"/>
      <c r="BN417" s="712"/>
      <c r="BO417" s="712"/>
      <c r="BP417" s="300"/>
      <c r="BQ417" s="714"/>
      <c r="BR417" s="714"/>
      <c r="BS417" s="714"/>
      <c r="BT417" s="714"/>
      <c r="BU417" s="714"/>
      <c r="BV417" s="714"/>
      <c r="BW417" s="714"/>
      <c r="BX417" s="714"/>
      <c r="BY417" s="300"/>
      <c r="BZ417" s="714"/>
      <c r="CA417" s="712"/>
      <c r="CB417" s="297">
        <v>28702</v>
      </c>
      <c r="CC417" s="297">
        <v>36</v>
      </c>
      <c r="CD417" s="714"/>
    </row>
    <row r="418" spans="1:82" ht="22.5" x14ac:dyDescent="0.2">
      <c r="A418" s="703"/>
      <c r="B418" s="292" t="s">
        <v>1429</v>
      </c>
      <c r="C418" s="293" t="s">
        <v>1034</v>
      </c>
      <c r="D418" s="512"/>
      <c r="E418" s="703"/>
      <c r="F418" s="294" t="s">
        <v>1035</v>
      </c>
      <c r="G418" s="296"/>
      <c r="H418" s="296"/>
      <c r="I418" s="296"/>
      <c r="J418" s="299">
        <f t="shared" si="130"/>
        <v>2458</v>
      </c>
      <c r="K418" s="299">
        <f t="shared" si="130"/>
        <v>664</v>
      </c>
      <c r="L418" s="299">
        <f t="shared" si="130"/>
        <v>3122</v>
      </c>
      <c r="M418" s="299">
        <v>2458</v>
      </c>
      <c r="N418" s="299">
        <v>664</v>
      </c>
      <c r="O418" s="299">
        <f t="shared" si="131"/>
        <v>3122</v>
      </c>
      <c r="P418" s="499">
        <f t="shared" si="128"/>
        <v>0</v>
      </c>
      <c r="Q418" s="499">
        <f t="shared" si="128"/>
        <v>0</v>
      </c>
      <c r="R418" s="499">
        <f t="shared" si="128"/>
        <v>0</v>
      </c>
      <c r="S418" s="299">
        <v>2458</v>
      </c>
      <c r="T418" s="299">
        <v>664</v>
      </c>
      <c r="U418" s="299">
        <f t="shared" si="132"/>
        <v>3122</v>
      </c>
      <c r="V418" s="299"/>
      <c r="W418" s="299"/>
      <c r="X418" s="299"/>
      <c r="Y418" s="299">
        <v>2458</v>
      </c>
      <c r="Z418" s="299">
        <v>664</v>
      </c>
      <c r="AA418" s="299">
        <v>3122</v>
      </c>
      <c r="AB418" s="299">
        <f t="shared" si="129"/>
        <v>0</v>
      </c>
      <c r="AC418" s="299">
        <f t="shared" si="129"/>
        <v>0</v>
      </c>
      <c r="AD418" s="299">
        <f t="shared" si="129"/>
        <v>0</v>
      </c>
      <c r="AE418" s="299">
        <v>2458</v>
      </c>
      <c r="AF418" s="299">
        <v>664</v>
      </c>
      <c r="AG418" s="299">
        <v>3122</v>
      </c>
      <c r="AH418" s="298"/>
      <c r="AI418" s="298"/>
      <c r="AJ418" s="298"/>
      <c r="AK418" s="298"/>
      <c r="AL418" s="298"/>
      <c r="AM418" s="298"/>
      <c r="AN418" s="298"/>
      <c r="AO418" s="298"/>
      <c r="AP418" s="298"/>
      <c r="AQ418" s="298"/>
      <c r="AR418" s="298"/>
      <c r="AS418" s="298"/>
      <c r="AT418" s="298"/>
      <c r="AU418" s="298"/>
      <c r="AV418" s="298"/>
      <c r="AW418" s="298"/>
      <c r="AX418" s="298"/>
      <c r="AY418" s="298"/>
      <c r="AZ418" s="298"/>
      <c r="BA418" s="298"/>
      <c r="BB418" s="298"/>
      <c r="BC418" s="499"/>
      <c r="BD418" s="499"/>
      <c r="BE418" s="499"/>
      <c r="BF418" s="298"/>
      <c r="BG418" s="298"/>
      <c r="BH418" s="298"/>
      <c r="BI418" s="712"/>
      <c r="BJ418" s="712"/>
      <c r="BK418" s="712"/>
      <c r="BL418" s="714"/>
      <c r="BM418" s="714"/>
      <c r="BN418" s="712"/>
      <c r="BO418" s="712"/>
      <c r="BP418" s="300"/>
      <c r="BQ418" s="714"/>
      <c r="BR418" s="714"/>
      <c r="BS418" s="714"/>
      <c r="BT418" s="714"/>
      <c r="BU418" s="714"/>
      <c r="BV418" s="714"/>
      <c r="BW418" s="714"/>
      <c r="BX418" s="714"/>
      <c r="BY418" s="300"/>
      <c r="BZ418" s="714"/>
      <c r="CA418" s="712"/>
      <c r="CB418" s="297">
        <v>2457932</v>
      </c>
      <c r="CC418" s="297">
        <v>3122</v>
      </c>
      <c r="CD418" s="714"/>
    </row>
    <row r="419" spans="1:82" ht="22.5" x14ac:dyDescent="0.2">
      <c r="A419" s="703"/>
      <c r="B419" s="292" t="s">
        <v>1429</v>
      </c>
      <c r="C419" s="293" t="s">
        <v>1036</v>
      </c>
      <c r="D419" s="512"/>
      <c r="E419" s="703"/>
      <c r="F419" s="294" t="s">
        <v>1037</v>
      </c>
      <c r="G419" s="296"/>
      <c r="H419" s="296"/>
      <c r="I419" s="296"/>
      <c r="J419" s="299">
        <f t="shared" si="130"/>
        <v>2560</v>
      </c>
      <c r="K419" s="299">
        <f t="shared" si="130"/>
        <v>691</v>
      </c>
      <c r="L419" s="299">
        <f t="shared" si="130"/>
        <v>3251</v>
      </c>
      <c r="M419" s="299">
        <v>2560</v>
      </c>
      <c r="N419" s="299">
        <v>691</v>
      </c>
      <c r="O419" s="299">
        <f t="shared" si="131"/>
        <v>3251</v>
      </c>
      <c r="P419" s="499">
        <f t="shared" si="128"/>
        <v>0</v>
      </c>
      <c r="Q419" s="499">
        <f t="shared" si="128"/>
        <v>0</v>
      </c>
      <c r="R419" s="499">
        <f t="shared" si="128"/>
        <v>0</v>
      </c>
      <c r="S419" s="299">
        <v>2560</v>
      </c>
      <c r="T419" s="299">
        <v>691</v>
      </c>
      <c r="U419" s="299">
        <f t="shared" si="132"/>
        <v>3251</v>
      </c>
      <c r="V419" s="299"/>
      <c r="W419" s="299"/>
      <c r="X419" s="299"/>
      <c r="Y419" s="299">
        <v>2560</v>
      </c>
      <c r="Z419" s="299">
        <v>691</v>
      </c>
      <c r="AA419" s="299">
        <v>3251</v>
      </c>
      <c r="AB419" s="299">
        <f t="shared" si="129"/>
        <v>0</v>
      </c>
      <c r="AC419" s="299">
        <f t="shared" si="129"/>
        <v>0</v>
      </c>
      <c r="AD419" s="299">
        <f t="shared" si="129"/>
        <v>0</v>
      </c>
      <c r="AE419" s="299">
        <v>2560</v>
      </c>
      <c r="AF419" s="299">
        <v>691</v>
      </c>
      <c r="AG419" s="299">
        <v>3251</v>
      </c>
      <c r="AH419" s="298"/>
      <c r="AI419" s="298"/>
      <c r="AJ419" s="298"/>
      <c r="AK419" s="298"/>
      <c r="AL419" s="298"/>
      <c r="AM419" s="298"/>
      <c r="AN419" s="298"/>
      <c r="AO419" s="298"/>
      <c r="AP419" s="298"/>
      <c r="AQ419" s="298"/>
      <c r="AR419" s="298"/>
      <c r="AS419" s="298"/>
      <c r="AT419" s="298"/>
      <c r="AU419" s="298"/>
      <c r="AV419" s="298"/>
      <c r="AW419" s="298"/>
      <c r="AX419" s="298"/>
      <c r="AY419" s="298"/>
      <c r="AZ419" s="298"/>
      <c r="BA419" s="298"/>
      <c r="BB419" s="298"/>
      <c r="BC419" s="499"/>
      <c r="BD419" s="499"/>
      <c r="BE419" s="499"/>
      <c r="BF419" s="298"/>
      <c r="BG419" s="298"/>
      <c r="BH419" s="298"/>
      <c r="BI419" s="712"/>
      <c r="BJ419" s="712"/>
      <c r="BK419" s="712"/>
      <c r="BL419" s="714"/>
      <c r="BM419" s="714"/>
      <c r="BN419" s="712"/>
      <c r="BO419" s="712"/>
      <c r="BP419" s="300"/>
      <c r="BQ419" s="714"/>
      <c r="BR419" s="714"/>
      <c r="BS419" s="714"/>
      <c r="BT419" s="714"/>
      <c r="BU419" s="714"/>
      <c r="BV419" s="714"/>
      <c r="BW419" s="714"/>
      <c r="BX419" s="714"/>
      <c r="BY419" s="300"/>
      <c r="BZ419" s="714"/>
      <c r="CA419" s="712"/>
      <c r="CB419" s="297">
        <v>2560056</v>
      </c>
      <c r="CC419" s="297">
        <v>3251</v>
      </c>
      <c r="CD419" s="714"/>
    </row>
    <row r="420" spans="1:82" ht="22.5" x14ac:dyDescent="0.2">
      <c r="A420" s="703"/>
      <c r="B420" s="292" t="s">
        <v>1429</v>
      </c>
      <c r="C420" s="293"/>
      <c r="D420" s="512"/>
      <c r="E420" s="703"/>
      <c r="F420" s="294" t="s">
        <v>1038</v>
      </c>
      <c r="G420" s="296"/>
      <c r="H420" s="296"/>
      <c r="I420" s="296"/>
      <c r="J420" s="299">
        <v>-78740</v>
      </c>
      <c r="K420" s="299">
        <v>-21260</v>
      </c>
      <c r="L420" s="299">
        <f>SUM(J420:K420)</f>
        <v>-100000</v>
      </c>
      <c r="M420" s="299">
        <v>-78740</v>
      </c>
      <c r="N420" s="299">
        <v>-21260</v>
      </c>
      <c r="O420" s="299">
        <f t="shared" si="131"/>
        <v>-100000</v>
      </c>
      <c r="P420" s="499">
        <f t="shared" si="128"/>
        <v>0</v>
      </c>
      <c r="Q420" s="499">
        <f t="shared" si="128"/>
        <v>0</v>
      </c>
      <c r="R420" s="499">
        <f t="shared" si="128"/>
        <v>0</v>
      </c>
      <c r="S420" s="299">
        <v>-78740</v>
      </c>
      <c r="T420" s="299">
        <v>-21260</v>
      </c>
      <c r="U420" s="299">
        <f t="shared" si="132"/>
        <v>-100000</v>
      </c>
      <c r="V420" s="299"/>
      <c r="W420" s="299"/>
      <c r="X420" s="299"/>
      <c r="Y420" s="299">
        <v>-78740</v>
      </c>
      <c r="Z420" s="299">
        <v>-21260</v>
      </c>
      <c r="AA420" s="299">
        <v>-100000</v>
      </c>
      <c r="AB420" s="299">
        <f t="shared" si="129"/>
        <v>0</v>
      </c>
      <c r="AC420" s="299">
        <f t="shared" si="129"/>
        <v>0</v>
      </c>
      <c r="AD420" s="299">
        <f t="shared" si="129"/>
        <v>0</v>
      </c>
      <c r="AE420" s="299">
        <v>-78740</v>
      </c>
      <c r="AF420" s="299">
        <v>-21260</v>
      </c>
      <c r="AG420" s="299">
        <v>-100000</v>
      </c>
      <c r="AH420" s="298"/>
      <c r="AI420" s="298"/>
      <c r="AJ420" s="298"/>
      <c r="AK420" s="298"/>
      <c r="AL420" s="298"/>
      <c r="AM420" s="298"/>
      <c r="AN420" s="298"/>
      <c r="AO420" s="298"/>
      <c r="AP420" s="298"/>
      <c r="AQ420" s="298"/>
      <c r="AR420" s="298"/>
      <c r="AS420" s="298"/>
      <c r="AT420" s="298"/>
      <c r="AU420" s="298"/>
      <c r="AV420" s="298"/>
      <c r="AW420" s="298"/>
      <c r="AX420" s="298"/>
      <c r="AY420" s="298"/>
      <c r="AZ420" s="298"/>
      <c r="BA420" s="298"/>
      <c r="BB420" s="298"/>
      <c r="BC420" s="499"/>
      <c r="BD420" s="499"/>
      <c r="BE420" s="499"/>
      <c r="BF420" s="298"/>
      <c r="BG420" s="298"/>
      <c r="BH420" s="298"/>
      <c r="BI420" s="712"/>
      <c r="BJ420" s="712"/>
      <c r="BK420" s="712"/>
      <c r="BL420" s="714"/>
      <c r="BM420" s="714"/>
      <c r="BN420" s="712"/>
      <c r="BO420" s="712"/>
      <c r="BP420" s="300"/>
      <c r="BQ420" s="714"/>
      <c r="BR420" s="714"/>
      <c r="BS420" s="714"/>
      <c r="BT420" s="714"/>
      <c r="BU420" s="714"/>
      <c r="BV420" s="714"/>
      <c r="BW420" s="714"/>
      <c r="BX420" s="714"/>
      <c r="BY420" s="300"/>
      <c r="BZ420" s="714"/>
      <c r="CA420" s="712"/>
      <c r="CB420" s="297">
        <v>0</v>
      </c>
      <c r="CC420" s="297">
        <v>0</v>
      </c>
      <c r="CD420" s="714"/>
    </row>
    <row r="421" spans="1:82" ht="22.5" x14ac:dyDescent="0.2">
      <c r="A421" s="703"/>
      <c r="B421" s="292" t="s">
        <v>1429</v>
      </c>
      <c r="C421" s="293"/>
      <c r="D421" s="512"/>
      <c r="E421" s="703"/>
      <c r="F421" s="294" t="s">
        <v>1039</v>
      </c>
      <c r="G421" s="296"/>
      <c r="H421" s="296"/>
      <c r="I421" s="296"/>
      <c r="J421" s="299">
        <v>-78740</v>
      </c>
      <c r="K421" s="299">
        <v>-21260</v>
      </c>
      <c r="L421" s="299">
        <f>SUM(J421:K421)</f>
        <v>-100000</v>
      </c>
      <c r="M421" s="299">
        <v>-78740</v>
      </c>
      <c r="N421" s="299">
        <v>-21260</v>
      </c>
      <c r="O421" s="299">
        <f t="shared" si="131"/>
        <v>-100000</v>
      </c>
      <c r="P421" s="499">
        <f t="shared" si="128"/>
        <v>0</v>
      </c>
      <c r="Q421" s="499">
        <f t="shared" si="128"/>
        <v>0</v>
      </c>
      <c r="R421" s="499">
        <f t="shared" si="128"/>
        <v>0</v>
      </c>
      <c r="S421" s="299">
        <v>-78740</v>
      </c>
      <c r="T421" s="299">
        <v>-21260</v>
      </c>
      <c r="U421" s="299">
        <f t="shared" si="132"/>
        <v>-100000</v>
      </c>
      <c r="V421" s="299"/>
      <c r="W421" s="299"/>
      <c r="X421" s="299"/>
      <c r="Y421" s="299">
        <v>-78740</v>
      </c>
      <c r="Z421" s="299">
        <v>-21260</v>
      </c>
      <c r="AA421" s="299">
        <v>-100000</v>
      </c>
      <c r="AB421" s="299">
        <f t="shared" si="129"/>
        <v>0</v>
      </c>
      <c r="AC421" s="299">
        <f t="shared" si="129"/>
        <v>0</v>
      </c>
      <c r="AD421" s="299">
        <f t="shared" si="129"/>
        <v>0</v>
      </c>
      <c r="AE421" s="299">
        <v>-78740</v>
      </c>
      <c r="AF421" s="299">
        <v>-21260</v>
      </c>
      <c r="AG421" s="299">
        <v>-100000</v>
      </c>
      <c r="AH421" s="298"/>
      <c r="AI421" s="298"/>
      <c r="AJ421" s="298"/>
      <c r="AK421" s="298"/>
      <c r="AL421" s="298"/>
      <c r="AM421" s="298"/>
      <c r="AN421" s="298"/>
      <c r="AO421" s="298"/>
      <c r="AP421" s="298"/>
      <c r="AQ421" s="298"/>
      <c r="AR421" s="298"/>
      <c r="AS421" s="298"/>
      <c r="AT421" s="298"/>
      <c r="AU421" s="298"/>
      <c r="AV421" s="298"/>
      <c r="AW421" s="298"/>
      <c r="AX421" s="298"/>
      <c r="AY421" s="298"/>
      <c r="AZ421" s="298"/>
      <c r="BA421" s="298"/>
      <c r="BB421" s="298"/>
      <c r="BC421" s="499"/>
      <c r="BD421" s="499"/>
      <c r="BE421" s="499"/>
      <c r="BF421" s="298"/>
      <c r="BG421" s="298"/>
      <c r="BH421" s="298"/>
      <c r="BI421" s="712"/>
      <c r="BJ421" s="712"/>
      <c r="BK421" s="712"/>
      <c r="BL421" s="714"/>
      <c r="BM421" s="714"/>
      <c r="BN421" s="712"/>
      <c r="BO421" s="712"/>
      <c r="BP421" s="300"/>
      <c r="BQ421" s="714"/>
      <c r="BR421" s="714"/>
      <c r="BS421" s="714"/>
      <c r="BT421" s="714"/>
      <c r="BU421" s="714"/>
      <c r="BV421" s="714"/>
      <c r="BW421" s="714"/>
      <c r="BX421" s="714"/>
      <c r="BY421" s="300"/>
      <c r="BZ421" s="714"/>
      <c r="CA421" s="712"/>
      <c r="CB421" s="297">
        <v>0</v>
      </c>
      <c r="CC421" s="297">
        <v>0</v>
      </c>
      <c r="CD421" s="714"/>
    </row>
    <row r="422" spans="1:82" ht="22.5" x14ac:dyDescent="0.2">
      <c r="A422" s="703"/>
      <c r="B422" s="292" t="s">
        <v>1429</v>
      </c>
      <c r="C422" s="293" t="s">
        <v>1264</v>
      </c>
      <c r="D422" s="512"/>
      <c r="E422" s="703"/>
      <c r="F422" s="294" t="s">
        <v>1265</v>
      </c>
      <c r="G422" s="296"/>
      <c r="H422" s="296"/>
      <c r="I422" s="296"/>
      <c r="J422" s="299"/>
      <c r="K422" s="299"/>
      <c r="L422" s="299"/>
      <c r="M422" s="299"/>
      <c r="N422" s="299"/>
      <c r="O422" s="299"/>
      <c r="P422" s="499">
        <f t="shared" si="128"/>
        <v>196</v>
      </c>
      <c r="Q422" s="499">
        <f t="shared" si="128"/>
        <v>53</v>
      </c>
      <c r="R422" s="499">
        <f t="shared" si="128"/>
        <v>249</v>
      </c>
      <c r="S422" s="499">
        <v>196</v>
      </c>
      <c r="T422" s="499">
        <v>53</v>
      </c>
      <c r="U422" s="499">
        <f t="shared" si="132"/>
        <v>249</v>
      </c>
      <c r="V422" s="499"/>
      <c r="W422" s="499"/>
      <c r="X422" s="499"/>
      <c r="Y422" s="499">
        <v>196</v>
      </c>
      <c r="Z422" s="499">
        <v>53</v>
      </c>
      <c r="AA422" s="499">
        <v>249</v>
      </c>
      <c r="AB422" s="499">
        <f t="shared" si="129"/>
        <v>0</v>
      </c>
      <c r="AC422" s="499">
        <f t="shared" si="129"/>
        <v>0</v>
      </c>
      <c r="AD422" s="499">
        <f t="shared" si="129"/>
        <v>0</v>
      </c>
      <c r="AE422" s="499">
        <v>196</v>
      </c>
      <c r="AF422" s="499">
        <v>53</v>
      </c>
      <c r="AG422" s="499">
        <f>SUM(AE422:AF422)</f>
        <v>249</v>
      </c>
      <c r="AH422" s="298"/>
      <c r="AI422" s="298"/>
      <c r="AJ422" s="298"/>
      <c r="AK422" s="298"/>
      <c r="AL422" s="298"/>
      <c r="AM422" s="298"/>
      <c r="AN422" s="298"/>
      <c r="AO422" s="298"/>
      <c r="AP422" s="298"/>
      <c r="AQ422" s="298"/>
      <c r="AR422" s="298"/>
      <c r="AS422" s="298"/>
      <c r="AT422" s="298"/>
      <c r="AU422" s="298"/>
      <c r="AV422" s="298"/>
      <c r="AW422" s="298"/>
      <c r="AX422" s="298"/>
      <c r="AY422" s="298"/>
      <c r="AZ422" s="298"/>
      <c r="BA422" s="298"/>
      <c r="BB422" s="298"/>
      <c r="BC422" s="499"/>
      <c r="BD422" s="499"/>
      <c r="BE422" s="499"/>
      <c r="BF422" s="298"/>
      <c r="BG422" s="298"/>
      <c r="BH422" s="298"/>
      <c r="BI422" s="712"/>
      <c r="BJ422" s="712"/>
      <c r="BK422" s="712"/>
      <c r="BL422" s="714"/>
      <c r="BM422" s="714"/>
      <c r="BN422" s="712"/>
      <c r="BO422" s="712"/>
      <c r="BP422" s="300"/>
      <c r="BQ422" s="714"/>
      <c r="BR422" s="714"/>
      <c r="BS422" s="714"/>
      <c r="BT422" s="714"/>
      <c r="BU422" s="714"/>
      <c r="BV422" s="714"/>
      <c r="BW422" s="714"/>
      <c r="BX422" s="714"/>
      <c r="BY422" s="300"/>
      <c r="BZ422" s="714"/>
      <c r="CA422" s="712"/>
      <c r="CB422" s="297">
        <v>195680</v>
      </c>
      <c r="CC422" s="297">
        <v>249</v>
      </c>
      <c r="CD422" s="714"/>
    </row>
    <row r="423" spans="1:82" ht="14.25" customHeight="1" x14ac:dyDescent="0.2">
      <c r="A423" s="703"/>
      <c r="B423" s="292" t="s">
        <v>1429</v>
      </c>
      <c r="C423" s="293" t="s">
        <v>1266</v>
      </c>
      <c r="D423" s="512"/>
      <c r="E423" s="703"/>
      <c r="F423" s="294" t="s">
        <v>1267</v>
      </c>
      <c r="G423" s="296"/>
      <c r="H423" s="296"/>
      <c r="I423" s="296"/>
      <c r="J423" s="299"/>
      <c r="K423" s="299"/>
      <c r="L423" s="299"/>
      <c r="M423" s="299"/>
      <c r="N423" s="299"/>
      <c r="O423" s="299"/>
      <c r="P423" s="499">
        <f t="shared" si="128"/>
        <v>289</v>
      </c>
      <c r="Q423" s="499">
        <f t="shared" si="128"/>
        <v>78</v>
      </c>
      <c r="R423" s="499">
        <f t="shared" si="128"/>
        <v>367</v>
      </c>
      <c r="S423" s="499">
        <v>289</v>
      </c>
      <c r="T423" s="499">
        <v>78</v>
      </c>
      <c r="U423" s="499">
        <f t="shared" si="132"/>
        <v>367</v>
      </c>
      <c r="V423" s="499"/>
      <c r="W423" s="499"/>
      <c r="X423" s="499"/>
      <c r="Y423" s="499">
        <v>289</v>
      </c>
      <c r="Z423" s="499">
        <v>78</v>
      </c>
      <c r="AA423" s="499">
        <v>367</v>
      </c>
      <c r="AB423" s="499">
        <f t="shared" si="129"/>
        <v>0</v>
      </c>
      <c r="AC423" s="499">
        <f t="shared" si="129"/>
        <v>1</v>
      </c>
      <c r="AD423" s="499">
        <f t="shared" si="129"/>
        <v>1</v>
      </c>
      <c r="AE423" s="499">
        <v>289</v>
      </c>
      <c r="AF423" s="499">
        <v>79</v>
      </c>
      <c r="AG423" s="499">
        <f t="shared" ref="AG423:AG425" si="133">SUM(AE423:AF423)</f>
        <v>368</v>
      </c>
      <c r="AH423" s="298"/>
      <c r="AI423" s="298"/>
      <c r="AJ423" s="298"/>
      <c r="AK423" s="298"/>
      <c r="AL423" s="298"/>
      <c r="AM423" s="298"/>
      <c r="AN423" s="298"/>
      <c r="AO423" s="298"/>
      <c r="AP423" s="298"/>
      <c r="AQ423" s="298"/>
      <c r="AR423" s="298"/>
      <c r="AS423" s="298"/>
      <c r="AT423" s="298"/>
      <c r="AU423" s="298"/>
      <c r="AV423" s="298"/>
      <c r="AW423" s="298"/>
      <c r="AX423" s="298"/>
      <c r="AY423" s="298"/>
      <c r="AZ423" s="298"/>
      <c r="BA423" s="298"/>
      <c r="BB423" s="298"/>
      <c r="BC423" s="499"/>
      <c r="BD423" s="499"/>
      <c r="BE423" s="499"/>
      <c r="BF423" s="298"/>
      <c r="BG423" s="298"/>
      <c r="BH423" s="298"/>
      <c r="BI423" s="712"/>
      <c r="BJ423" s="712"/>
      <c r="BK423" s="712"/>
      <c r="BL423" s="714"/>
      <c r="BM423" s="714"/>
      <c r="BN423" s="712"/>
      <c r="BO423" s="712"/>
      <c r="BP423" s="300"/>
      <c r="BQ423" s="714"/>
      <c r="BR423" s="714"/>
      <c r="BS423" s="714"/>
      <c r="BT423" s="714"/>
      <c r="BU423" s="714"/>
      <c r="BV423" s="714"/>
      <c r="BW423" s="714"/>
      <c r="BX423" s="714"/>
      <c r="BY423" s="300"/>
      <c r="BZ423" s="714"/>
      <c r="CA423" s="712"/>
      <c r="CB423" s="297">
        <v>289468</v>
      </c>
      <c r="CC423" s="297">
        <v>368</v>
      </c>
      <c r="CD423" s="714"/>
    </row>
    <row r="424" spans="1:82" ht="33.75" x14ac:dyDescent="0.2">
      <c r="A424" s="703"/>
      <c r="B424" s="292" t="s">
        <v>1429</v>
      </c>
      <c r="C424" s="293" t="s">
        <v>1268</v>
      </c>
      <c r="D424" s="512"/>
      <c r="E424" s="703"/>
      <c r="F424" s="294" t="s">
        <v>1269</v>
      </c>
      <c r="G424" s="296"/>
      <c r="H424" s="296"/>
      <c r="I424" s="296"/>
      <c r="J424" s="299"/>
      <c r="K424" s="299"/>
      <c r="L424" s="299"/>
      <c r="M424" s="299"/>
      <c r="N424" s="299"/>
      <c r="O424" s="299"/>
      <c r="P424" s="499">
        <f t="shared" si="128"/>
        <v>53</v>
      </c>
      <c r="Q424" s="499">
        <f t="shared" si="128"/>
        <v>14</v>
      </c>
      <c r="R424" s="499">
        <f t="shared" si="128"/>
        <v>67</v>
      </c>
      <c r="S424" s="499">
        <v>53</v>
      </c>
      <c r="T424" s="499">
        <v>14</v>
      </c>
      <c r="U424" s="499">
        <f t="shared" si="132"/>
        <v>67</v>
      </c>
      <c r="V424" s="499"/>
      <c r="W424" s="499"/>
      <c r="X424" s="499"/>
      <c r="Y424" s="499">
        <v>53</v>
      </c>
      <c r="Z424" s="499">
        <v>14</v>
      </c>
      <c r="AA424" s="499">
        <v>67</v>
      </c>
      <c r="AB424" s="499">
        <f t="shared" si="129"/>
        <v>0</v>
      </c>
      <c r="AC424" s="499">
        <f t="shared" si="129"/>
        <v>0</v>
      </c>
      <c r="AD424" s="499">
        <f t="shared" si="129"/>
        <v>0</v>
      </c>
      <c r="AE424" s="499">
        <v>53</v>
      </c>
      <c r="AF424" s="499">
        <v>14</v>
      </c>
      <c r="AG424" s="499">
        <f t="shared" si="133"/>
        <v>67</v>
      </c>
      <c r="AH424" s="298"/>
      <c r="AI424" s="298"/>
      <c r="AJ424" s="298"/>
      <c r="AK424" s="298"/>
      <c r="AL424" s="298"/>
      <c r="AM424" s="298"/>
      <c r="AN424" s="298"/>
      <c r="AO424" s="298"/>
      <c r="AP424" s="298"/>
      <c r="AQ424" s="298"/>
      <c r="AR424" s="298"/>
      <c r="AS424" s="298"/>
      <c r="AT424" s="298"/>
      <c r="AU424" s="298"/>
      <c r="AV424" s="298"/>
      <c r="AW424" s="298"/>
      <c r="AX424" s="298"/>
      <c r="AY424" s="298"/>
      <c r="AZ424" s="298"/>
      <c r="BA424" s="298"/>
      <c r="BB424" s="298"/>
      <c r="BC424" s="499"/>
      <c r="BD424" s="499"/>
      <c r="BE424" s="499"/>
      <c r="BF424" s="298"/>
      <c r="BG424" s="298"/>
      <c r="BH424" s="298"/>
      <c r="BI424" s="712"/>
      <c r="BJ424" s="712"/>
      <c r="BK424" s="712"/>
      <c r="BL424" s="714"/>
      <c r="BM424" s="714"/>
      <c r="BN424" s="712"/>
      <c r="BO424" s="712"/>
      <c r="BP424" s="300"/>
      <c r="BQ424" s="714"/>
      <c r="BR424" s="714"/>
      <c r="BS424" s="714"/>
      <c r="BT424" s="714"/>
      <c r="BU424" s="714"/>
      <c r="BV424" s="714"/>
      <c r="BW424" s="714"/>
      <c r="BX424" s="714"/>
      <c r="BY424" s="300"/>
      <c r="BZ424" s="714"/>
      <c r="CA424" s="712"/>
      <c r="CB424" s="297">
        <v>53000</v>
      </c>
      <c r="CC424" s="297">
        <v>67</v>
      </c>
      <c r="CD424" s="714"/>
    </row>
    <row r="425" spans="1:82" ht="33.75" x14ac:dyDescent="0.2">
      <c r="A425" s="703"/>
      <c r="B425" s="292" t="s">
        <v>1429</v>
      </c>
      <c r="C425" s="293" t="s">
        <v>1270</v>
      </c>
      <c r="D425" s="512" t="s">
        <v>807</v>
      </c>
      <c r="E425" s="703"/>
      <c r="F425" s="294" t="s">
        <v>1271</v>
      </c>
      <c r="G425" s="296"/>
      <c r="H425" s="296"/>
      <c r="I425" s="296"/>
      <c r="J425" s="299"/>
      <c r="K425" s="299"/>
      <c r="L425" s="299"/>
      <c r="M425" s="299"/>
      <c r="N425" s="299"/>
      <c r="O425" s="299"/>
      <c r="P425" s="499">
        <f t="shared" si="128"/>
        <v>9</v>
      </c>
      <c r="Q425" s="499"/>
      <c r="R425" s="499">
        <f t="shared" si="128"/>
        <v>9</v>
      </c>
      <c r="S425" s="499">
        <v>9</v>
      </c>
      <c r="T425" s="499"/>
      <c r="U425" s="499">
        <f t="shared" si="132"/>
        <v>9</v>
      </c>
      <c r="V425" s="499"/>
      <c r="W425" s="499"/>
      <c r="X425" s="499"/>
      <c r="Y425" s="499">
        <v>9</v>
      </c>
      <c r="Z425" s="499"/>
      <c r="AA425" s="499">
        <v>9</v>
      </c>
      <c r="AB425" s="499">
        <f t="shared" si="129"/>
        <v>0</v>
      </c>
      <c r="AC425" s="499">
        <f t="shared" si="129"/>
        <v>0</v>
      </c>
      <c r="AD425" s="499">
        <f t="shared" si="129"/>
        <v>0</v>
      </c>
      <c r="AE425" s="499">
        <v>9</v>
      </c>
      <c r="AF425" s="499"/>
      <c r="AG425" s="499">
        <f t="shared" si="133"/>
        <v>9</v>
      </c>
      <c r="AH425" s="298"/>
      <c r="AI425" s="298"/>
      <c r="AJ425" s="298"/>
      <c r="AK425" s="298"/>
      <c r="AL425" s="298"/>
      <c r="AM425" s="298"/>
      <c r="AN425" s="298"/>
      <c r="AO425" s="298"/>
      <c r="AP425" s="298"/>
      <c r="AQ425" s="298"/>
      <c r="AR425" s="298"/>
      <c r="AS425" s="298"/>
      <c r="AT425" s="298"/>
      <c r="AU425" s="298"/>
      <c r="AV425" s="298"/>
      <c r="AW425" s="298"/>
      <c r="AX425" s="298"/>
      <c r="AY425" s="298"/>
      <c r="AZ425" s="298"/>
      <c r="BA425" s="298"/>
      <c r="BB425" s="298"/>
      <c r="BC425" s="499"/>
      <c r="BD425" s="499"/>
      <c r="BE425" s="499"/>
      <c r="BF425" s="298"/>
      <c r="BG425" s="298"/>
      <c r="BH425" s="298"/>
      <c r="BI425" s="712"/>
      <c r="BJ425" s="713"/>
      <c r="BK425" s="713"/>
      <c r="BL425" s="717"/>
      <c r="BM425" s="717"/>
      <c r="BN425" s="713"/>
      <c r="BO425" s="712"/>
      <c r="BP425" s="300"/>
      <c r="BQ425" s="714"/>
      <c r="BR425" s="714"/>
      <c r="BS425" s="717"/>
      <c r="BT425" s="717"/>
      <c r="BU425" s="717"/>
      <c r="BV425" s="717"/>
      <c r="BW425" s="717"/>
      <c r="BX425" s="714"/>
      <c r="BY425" s="300"/>
      <c r="BZ425" s="714"/>
      <c r="CA425" s="712"/>
      <c r="CB425" s="297">
        <v>8700</v>
      </c>
      <c r="CC425" s="297">
        <v>9</v>
      </c>
      <c r="CD425" s="714"/>
    </row>
    <row r="426" spans="1:82" ht="22.5" x14ac:dyDescent="0.2">
      <c r="A426" s="703"/>
      <c r="B426" s="292" t="s">
        <v>1429</v>
      </c>
      <c r="C426" s="293" t="s">
        <v>1603</v>
      </c>
      <c r="D426" s="512"/>
      <c r="E426" s="703"/>
      <c r="F426" s="294" t="s">
        <v>1604</v>
      </c>
      <c r="G426" s="296"/>
      <c r="H426" s="296"/>
      <c r="I426" s="296"/>
      <c r="J426" s="299"/>
      <c r="K426" s="299"/>
      <c r="L426" s="299"/>
      <c r="M426" s="299"/>
      <c r="N426" s="299"/>
      <c r="O426" s="299"/>
      <c r="P426" s="499"/>
      <c r="Q426" s="499"/>
      <c r="R426" s="499"/>
      <c r="S426" s="499"/>
      <c r="T426" s="499"/>
      <c r="U426" s="499"/>
      <c r="V426" s="499"/>
      <c r="W426" s="499"/>
      <c r="X426" s="499"/>
      <c r="Y426" s="499"/>
      <c r="Z426" s="499"/>
      <c r="AA426" s="499"/>
      <c r="AB426" s="499">
        <f t="shared" ref="AB426:AD426" si="134">AE426-S426</f>
        <v>80</v>
      </c>
      <c r="AC426" s="499">
        <f t="shared" si="134"/>
        <v>0</v>
      </c>
      <c r="AD426" s="499">
        <f t="shared" si="134"/>
        <v>80</v>
      </c>
      <c r="AE426" s="499">
        <v>80</v>
      </c>
      <c r="AF426" s="499"/>
      <c r="AG426" s="499">
        <f>SUM(AE426:AF426)</f>
        <v>80</v>
      </c>
      <c r="AH426" s="298"/>
      <c r="AI426" s="298"/>
      <c r="AJ426" s="298"/>
      <c r="AK426" s="298"/>
      <c r="AL426" s="298"/>
      <c r="AM426" s="298"/>
      <c r="AN426" s="298"/>
      <c r="AO426" s="298"/>
      <c r="AP426" s="298"/>
      <c r="AQ426" s="298"/>
      <c r="AR426" s="298"/>
      <c r="AS426" s="298"/>
      <c r="AT426" s="298"/>
      <c r="AU426" s="298"/>
      <c r="AV426" s="298"/>
      <c r="AW426" s="298"/>
      <c r="AX426" s="298"/>
      <c r="AY426" s="298"/>
      <c r="AZ426" s="298"/>
      <c r="BA426" s="298"/>
      <c r="BB426" s="298"/>
      <c r="BC426" s="499"/>
      <c r="BD426" s="499"/>
      <c r="BE426" s="499"/>
      <c r="BF426" s="298"/>
      <c r="BG426" s="298"/>
      <c r="BH426" s="298"/>
      <c r="BI426" s="713"/>
      <c r="BJ426" s="521"/>
      <c r="BK426" s="521"/>
      <c r="BL426" s="518"/>
      <c r="BM426" s="518"/>
      <c r="BN426" s="521"/>
      <c r="BO426" s="713"/>
      <c r="BP426" s="300"/>
      <c r="BQ426" s="717"/>
      <c r="BR426" s="717"/>
      <c r="BS426" s="518"/>
      <c r="BT426" s="518"/>
      <c r="BU426" s="518"/>
      <c r="BV426" s="518"/>
      <c r="BW426" s="518"/>
      <c r="BX426" s="717"/>
      <c r="BY426" s="300"/>
      <c r="BZ426" s="717"/>
      <c r="CA426" s="713"/>
      <c r="CB426" s="297">
        <v>80000</v>
      </c>
      <c r="CC426" s="297">
        <v>80</v>
      </c>
      <c r="CD426" s="717"/>
    </row>
    <row r="427" spans="1:82" ht="22.5" collapsed="1" x14ac:dyDescent="0.2">
      <c r="A427" s="702" t="s">
        <v>425</v>
      </c>
      <c r="B427" s="292" t="s">
        <v>1429</v>
      </c>
      <c r="C427" s="329" t="s">
        <v>1040</v>
      </c>
      <c r="D427" s="314"/>
      <c r="E427" s="702" t="s">
        <v>1041</v>
      </c>
      <c r="F427" s="294" t="s">
        <v>1605</v>
      </c>
      <c r="G427" s="344"/>
      <c r="H427" s="296"/>
      <c r="I427" s="296"/>
      <c r="J427" s="296"/>
      <c r="K427" s="296"/>
      <c r="L427" s="296"/>
      <c r="M427" s="296"/>
      <c r="N427" s="296"/>
      <c r="O427" s="296"/>
      <c r="P427" s="296"/>
      <c r="Q427" s="296"/>
      <c r="R427" s="296"/>
      <c r="S427" s="296"/>
      <c r="T427" s="296"/>
      <c r="U427" s="296"/>
      <c r="V427" s="296"/>
      <c r="W427" s="296"/>
      <c r="X427" s="296"/>
      <c r="Y427" s="296"/>
      <c r="Z427" s="296"/>
      <c r="AA427" s="296"/>
      <c r="AB427" s="296"/>
      <c r="AC427" s="296"/>
      <c r="AD427" s="296"/>
      <c r="AE427" s="296"/>
      <c r="AF427" s="296"/>
      <c r="AG427" s="296"/>
      <c r="AH427" s="296">
        <v>4950</v>
      </c>
      <c r="AI427" s="296">
        <v>1337</v>
      </c>
      <c r="AJ427" s="296">
        <f>SUM(AH427:AI427)</f>
        <v>6287</v>
      </c>
      <c r="AK427" s="296">
        <f t="shared" ref="AK427:AM436" si="135">AN427-AH427</f>
        <v>0</v>
      </c>
      <c r="AL427" s="296">
        <f t="shared" si="135"/>
        <v>0</v>
      </c>
      <c r="AM427" s="296">
        <f t="shared" si="135"/>
        <v>0</v>
      </c>
      <c r="AN427" s="296">
        <v>4950</v>
      </c>
      <c r="AO427" s="296">
        <v>1337</v>
      </c>
      <c r="AP427" s="296">
        <f t="shared" ref="AP427:AP436" si="136">SUM(AN427:AO427)</f>
        <v>6287</v>
      </c>
      <c r="AQ427" s="296">
        <f t="shared" ref="AQ427:AS440" si="137">AT427-AN427</f>
        <v>0</v>
      </c>
      <c r="AR427" s="296">
        <f t="shared" si="137"/>
        <v>0</v>
      </c>
      <c r="AS427" s="296">
        <f t="shared" si="137"/>
        <v>0</v>
      </c>
      <c r="AT427" s="296">
        <v>4950</v>
      </c>
      <c r="AU427" s="296">
        <v>1337</v>
      </c>
      <c r="AV427" s="296">
        <f t="shared" ref="AV427:AV436" si="138">SUM(AT427:AU427)</f>
        <v>6287</v>
      </c>
      <c r="AW427" s="296"/>
      <c r="AX427" s="296"/>
      <c r="AY427" s="296"/>
      <c r="AZ427" s="296">
        <v>4950</v>
      </c>
      <c r="BA427" s="296">
        <v>1337</v>
      </c>
      <c r="BB427" s="296">
        <v>6287</v>
      </c>
      <c r="BC427" s="499">
        <f t="shared" ref="BC427:BE442" si="139">BF427-AT427</f>
        <v>0</v>
      </c>
      <c r="BD427" s="499">
        <f t="shared" si="139"/>
        <v>0</v>
      </c>
      <c r="BE427" s="499">
        <f t="shared" si="139"/>
        <v>0</v>
      </c>
      <c r="BF427" s="296">
        <v>4950</v>
      </c>
      <c r="BG427" s="296">
        <v>1337</v>
      </c>
      <c r="BH427" s="296">
        <v>6287</v>
      </c>
      <c r="BI427" s="722">
        <f>SUM(I427:I448)</f>
        <v>120000</v>
      </c>
      <c r="BJ427" s="722">
        <f>SUM(L427:L446)</f>
        <v>0</v>
      </c>
      <c r="BK427" s="722">
        <f>SUM(O427:O446)</f>
        <v>120000</v>
      </c>
      <c r="BL427" s="722">
        <f>SUM(R427:R446)</f>
        <v>0</v>
      </c>
      <c r="BM427" s="722">
        <f>SUM(U427:U446)</f>
        <v>120000</v>
      </c>
      <c r="BN427" s="722">
        <f>SUM(AD427:AD448)</f>
        <v>-36045</v>
      </c>
      <c r="BO427" s="722">
        <f>SUM(AA427:AA448)</f>
        <v>120000</v>
      </c>
      <c r="BP427" s="725"/>
      <c r="BQ427" s="722">
        <f>SUM(AG427:AG448)</f>
        <v>83955</v>
      </c>
      <c r="BR427" s="722">
        <f>SUM(AJ427:AJ448)</f>
        <v>556434</v>
      </c>
      <c r="BS427" s="722">
        <f>SUM(AM427:AM446)</f>
        <v>0</v>
      </c>
      <c r="BT427" s="722">
        <f>SUM(AP427:AP446)</f>
        <v>556434</v>
      </c>
      <c r="BU427" s="722">
        <f>SUM(AS427:AS446)</f>
        <v>32467</v>
      </c>
      <c r="BV427" s="722">
        <f>SUM(AV427:AV446)</f>
        <v>588901</v>
      </c>
      <c r="BW427" s="722">
        <f>SUM(BE427:BE448)</f>
        <v>-280060</v>
      </c>
      <c r="BX427" s="722">
        <f>SUM(BB427:BB448)</f>
        <v>611761</v>
      </c>
      <c r="BY427" s="725"/>
      <c r="BZ427" s="722">
        <f>SUM(BH427:BH448)</f>
        <v>331701</v>
      </c>
      <c r="CA427" s="722">
        <f>SUM(BQ427,BZ427)</f>
        <v>415656</v>
      </c>
      <c r="CB427" s="516">
        <v>4950000</v>
      </c>
      <c r="CC427" s="297">
        <v>6287</v>
      </c>
      <c r="CD427" s="722">
        <f>SUM(CC427:CC448)</f>
        <v>391883</v>
      </c>
    </row>
    <row r="428" spans="1:82" ht="22.5" x14ac:dyDescent="0.2">
      <c r="A428" s="703"/>
      <c r="B428" s="292" t="s">
        <v>1429</v>
      </c>
      <c r="C428" s="329" t="s">
        <v>1042</v>
      </c>
      <c r="D428" s="314"/>
      <c r="E428" s="703"/>
      <c r="F428" s="294" t="s">
        <v>1606</v>
      </c>
      <c r="G428" s="344"/>
      <c r="H428" s="296"/>
      <c r="I428" s="296"/>
      <c r="J428" s="296"/>
      <c r="K428" s="296"/>
      <c r="L428" s="296"/>
      <c r="M428" s="296"/>
      <c r="N428" s="296"/>
      <c r="O428" s="296"/>
      <c r="P428" s="296"/>
      <c r="Q428" s="296"/>
      <c r="R428" s="296"/>
      <c r="S428" s="296"/>
      <c r="T428" s="296"/>
      <c r="U428" s="296"/>
      <c r="V428" s="296"/>
      <c r="W428" s="296"/>
      <c r="X428" s="296"/>
      <c r="Y428" s="296"/>
      <c r="Z428" s="296"/>
      <c r="AA428" s="296"/>
      <c r="AB428" s="296"/>
      <c r="AC428" s="296"/>
      <c r="AD428" s="296"/>
      <c r="AE428" s="296"/>
      <c r="AF428" s="296"/>
      <c r="AG428" s="296"/>
      <c r="AH428" s="296">
        <v>7990</v>
      </c>
      <c r="AI428" s="296">
        <v>2157</v>
      </c>
      <c r="AJ428" s="296">
        <f>SUM(AH428:AI428)</f>
        <v>10147</v>
      </c>
      <c r="AK428" s="296">
        <f t="shared" si="135"/>
        <v>0</v>
      </c>
      <c r="AL428" s="296">
        <f t="shared" si="135"/>
        <v>0</v>
      </c>
      <c r="AM428" s="296">
        <f t="shared" si="135"/>
        <v>0</v>
      </c>
      <c r="AN428" s="296">
        <v>7990</v>
      </c>
      <c r="AO428" s="296">
        <v>2157</v>
      </c>
      <c r="AP428" s="296">
        <f t="shared" si="136"/>
        <v>10147</v>
      </c>
      <c r="AQ428" s="296">
        <f t="shared" si="137"/>
        <v>0</v>
      </c>
      <c r="AR428" s="296">
        <f t="shared" si="137"/>
        <v>0</v>
      </c>
      <c r="AS428" s="296">
        <f t="shared" si="137"/>
        <v>0</v>
      </c>
      <c r="AT428" s="296">
        <v>7990</v>
      </c>
      <c r="AU428" s="296">
        <v>2157</v>
      </c>
      <c r="AV428" s="296">
        <f t="shared" si="138"/>
        <v>10147</v>
      </c>
      <c r="AW428" s="296"/>
      <c r="AX428" s="296"/>
      <c r="AY428" s="296"/>
      <c r="AZ428" s="296">
        <v>7990</v>
      </c>
      <c r="BA428" s="296">
        <v>2157</v>
      </c>
      <c r="BB428" s="296">
        <v>10147</v>
      </c>
      <c r="BC428" s="499">
        <f t="shared" si="139"/>
        <v>-7990</v>
      </c>
      <c r="BD428" s="499">
        <f t="shared" si="139"/>
        <v>-2157</v>
      </c>
      <c r="BE428" s="499">
        <f t="shared" si="139"/>
        <v>-10147</v>
      </c>
      <c r="BF428" s="296">
        <v>0</v>
      </c>
      <c r="BG428" s="296">
        <v>0</v>
      </c>
      <c r="BH428" s="296">
        <f>SUM(BF428:BG428)</f>
        <v>0</v>
      </c>
      <c r="BI428" s="723"/>
      <c r="BJ428" s="723"/>
      <c r="BK428" s="723"/>
      <c r="BL428" s="723"/>
      <c r="BM428" s="723"/>
      <c r="BN428" s="723"/>
      <c r="BO428" s="723"/>
      <c r="BP428" s="725"/>
      <c r="BQ428" s="723"/>
      <c r="BR428" s="723"/>
      <c r="BS428" s="723"/>
      <c r="BT428" s="723"/>
      <c r="BU428" s="723"/>
      <c r="BV428" s="723"/>
      <c r="BW428" s="723"/>
      <c r="BX428" s="723"/>
      <c r="BY428" s="725"/>
      <c r="BZ428" s="723"/>
      <c r="CA428" s="723"/>
      <c r="CB428" s="516">
        <v>0</v>
      </c>
      <c r="CC428" s="297">
        <v>0</v>
      </c>
      <c r="CD428" s="723"/>
    </row>
    <row r="429" spans="1:82" x14ac:dyDescent="0.2">
      <c r="A429" s="703"/>
      <c r="B429" s="292" t="s">
        <v>1429</v>
      </c>
      <c r="C429" s="293" t="s">
        <v>1143</v>
      </c>
      <c r="D429" s="314"/>
      <c r="E429" s="703"/>
      <c r="F429" s="294" t="s">
        <v>1272</v>
      </c>
      <c r="G429" s="357"/>
      <c r="H429" s="516"/>
      <c r="I429" s="516"/>
      <c r="J429" s="516"/>
      <c r="K429" s="516"/>
      <c r="L429" s="516"/>
      <c r="M429" s="296"/>
      <c r="N429" s="296"/>
      <c r="O429" s="296"/>
      <c r="P429" s="296"/>
      <c r="Q429" s="296"/>
      <c r="R429" s="296"/>
      <c r="S429" s="296"/>
      <c r="T429" s="296"/>
      <c r="U429" s="296"/>
      <c r="V429" s="296"/>
      <c r="W429" s="296"/>
      <c r="X429" s="296"/>
      <c r="Y429" s="296"/>
      <c r="Z429" s="296"/>
      <c r="AA429" s="296"/>
      <c r="AB429" s="296"/>
      <c r="AC429" s="296"/>
      <c r="AD429" s="296"/>
      <c r="AE429" s="296"/>
      <c r="AF429" s="296"/>
      <c r="AG429" s="296"/>
      <c r="AH429" s="296">
        <v>425197</v>
      </c>
      <c r="AI429" s="296">
        <v>114803</v>
      </c>
      <c r="AJ429" s="296">
        <f>SUM(AH429:AI429)</f>
        <v>540000</v>
      </c>
      <c r="AK429" s="296">
        <f t="shared" si="135"/>
        <v>-423169</v>
      </c>
      <c r="AL429" s="296">
        <v>110461</v>
      </c>
      <c r="AM429" s="296">
        <f t="shared" si="135"/>
        <v>-536142</v>
      </c>
      <c r="AN429" s="296">
        <f>AH429-SUM(AK430:AK436)</f>
        <v>2028</v>
      </c>
      <c r="AO429" s="296">
        <f>AI429-SUM(AL430:AL436)</f>
        <v>1830</v>
      </c>
      <c r="AP429" s="296">
        <f>AJ429-SUM(AM430:AM436)</f>
        <v>3858</v>
      </c>
      <c r="AQ429" s="296">
        <f t="shared" si="137"/>
        <v>-2028</v>
      </c>
      <c r="AR429" s="296">
        <f t="shared" si="137"/>
        <v>-1830</v>
      </c>
      <c r="AS429" s="296">
        <f t="shared" si="137"/>
        <v>-3858</v>
      </c>
      <c r="AT429" s="296">
        <v>0</v>
      </c>
      <c r="AU429" s="296">
        <v>0</v>
      </c>
      <c r="AV429" s="296">
        <v>0</v>
      </c>
      <c r="AW429" s="296"/>
      <c r="AX429" s="296"/>
      <c r="AY429" s="296"/>
      <c r="AZ429" s="296">
        <v>0</v>
      </c>
      <c r="BA429" s="296">
        <v>0</v>
      </c>
      <c r="BB429" s="296">
        <v>0</v>
      </c>
      <c r="BC429" s="499">
        <f t="shared" si="139"/>
        <v>0</v>
      </c>
      <c r="BD429" s="499">
        <f t="shared" si="139"/>
        <v>0</v>
      </c>
      <c r="BE429" s="499">
        <f t="shared" si="139"/>
        <v>0</v>
      </c>
      <c r="BF429" s="296">
        <v>0</v>
      </c>
      <c r="BG429" s="296">
        <v>0</v>
      </c>
      <c r="BH429" s="296">
        <v>0</v>
      </c>
      <c r="BI429" s="723"/>
      <c r="BJ429" s="723"/>
      <c r="BK429" s="723"/>
      <c r="BL429" s="723"/>
      <c r="BM429" s="723"/>
      <c r="BN429" s="723"/>
      <c r="BO429" s="723"/>
      <c r="BP429" s="725"/>
      <c r="BQ429" s="723"/>
      <c r="BR429" s="723"/>
      <c r="BS429" s="723"/>
      <c r="BT429" s="723"/>
      <c r="BU429" s="723"/>
      <c r="BV429" s="723"/>
      <c r="BW429" s="723"/>
      <c r="BX429" s="723"/>
      <c r="BY429" s="725"/>
      <c r="BZ429" s="723"/>
      <c r="CA429" s="723"/>
      <c r="CB429" s="516">
        <v>0</v>
      </c>
      <c r="CC429" s="297">
        <v>0</v>
      </c>
      <c r="CD429" s="723"/>
    </row>
    <row r="430" spans="1:82" ht="22.5" x14ac:dyDescent="0.2">
      <c r="A430" s="703"/>
      <c r="B430" s="292" t="s">
        <v>1429</v>
      </c>
      <c r="C430" s="329" t="s">
        <v>1043</v>
      </c>
      <c r="D430" s="314" t="s">
        <v>729</v>
      </c>
      <c r="E430" s="703"/>
      <c r="F430" s="294" t="s">
        <v>1273</v>
      </c>
      <c r="G430" s="344"/>
      <c r="H430" s="296"/>
      <c r="I430" s="296"/>
      <c r="J430" s="296"/>
      <c r="K430" s="296"/>
      <c r="L430" s="296"/>
      <c r="M430" s="296"/>
      <c r="N430" s="296"/>
      <c r="O430" s="296"/>
      <c r="P430" s="296"/>
      <c r="Q430" s="296"/>
      <c r="R430" s="296"/>
      <c r="S430" s="296"/>
      <c r="T430" s="296"/>
      <c r="U430" s="296"/>
      <c r="V430" s="296"/>
      <c r="W430" s="296"/>
      <c r="X430" s="296"/>
      <c r="Y430" s="296"/>
      <c r="Z430" s="296"/>
      <c r="AA430" s="296"/>
      <c r="AB430" s="296"/>
      <c r="AC430" s="296"/>
      <c r="AD430" s="296"/>
      <c r="AE430" s="296"/>
      <c r="AF430" s="296"/>
      <c r="AG430" s="296"/>
      <c r="AH430" s="296"/>
      <c r="AI430" s="296"/>
      <c r="AJ430" s="296"/>
      <c r="AK430" s="296">
        <f t="shared" si="135"/>
        <v>409121</v>
      </c>
      <c r="AL430" s="296">
        <f t="shared" si="135"/>
        <v>110462</v>
      </c>
      <c r="AM430" s="296">
        <f t="shared" si="135"/>
        <v>519583</v>
      </c>
      <c r="AN430" s="296">
        <v>409121</v>
      </c>
      <c r="AO430" s="296">
        <v>110462</v>
      </c>
      <c r="AP430" s="296">
        <f t="shared" si="136"/>
        <v>519583</v>
      </c>
      <c r="AQ430" s="296">
        <f t="shared" si="137"/>
        <v>0</v>
      </c>
      <c r="AR430" s="296">
        <f t="shared" si="137"/>
        <v>0</v>
      </c>
      <c r="AS430" s="296">
        <f t="shared" si="137"/>
        <v>0</v>
      </c>
      <c r="AT430" s="296">
        <v>409121</v>
      </c>
      <c r="AU430" s="296">
        <v>110462</v>
      </c>
      <c r="AV430" s="296">
        <f t="shared" si="138"/>
        <v>519583</v>
      </c>
      <c r="AW430" s="296"/>
      <c r="AX430" s="296"/>
      <c r="AY430" s="296"/>
      <c r="AZ430" s="296">
        <v>409121</v>
      </c>
      <c r="BA430" s="296">
        <v>110462</v>
      </c>
      <c r="BB430" s="296">
        <v>519583</v>
      </c>
      <c r="BC430" s="499">
        <f t="shared" si="139"/>
        <v>-130175</v>
      </c>
      <c r="BD430" s="499">
        <f t="shared" si="139"/>
        <v>-110462</v>
      </c>
      <c r="BE430" s="499">
        <f t="shared" si="139"/>
        <v>-240637</v>
      </c>
      <c r="BF430" s="296">
        <v>278946</v>
      </c>
      <c r="BG430" s="296">
        <v>0</v>
      </c>
      <c r="BH430" s="296">
        <f>SUM(BF430:BG430)</f>
        <v>278946</v>
      </c>
      <c r="BI430" s="723"/>
      <c r="BJ430" s="723"/>
      <c r="BK430" s="723"/>
      <c r="BL430" s="723"/>
      <c r="BM430" s="723"/>
      <c r="BN430" s="723"/>
      <c r="BO430" s="723"/>
      <c r="BP430" s="725"/>
      <c r="BQ430" s="723"/>
      <c r="BR430" s="723"/>
      <c r="BS430" s="723"/>
      <c r="BT430" s="723"/>
      <c r="BU430" s="723"/>
      <c r="BV430" s="723"/>
      <c r="BW430" s="723"/>
      <c r="BX430" s="723"/>
      <c r="BY430" s="725"/>
      <c r="BZ430" s="723"/>
      <c r="CA430" s="723"/>
      <c r="CB430" s="516">
        <v>278945859</v>
      </c>
      <c r="CC430" s="297">
        <v>278946</v>
      </c>
      <c r="CD430" s="723"/>
    </row>
    <row r="431" spans="1:82" ht="22.5" x14ac:dyDescent="0.2">
      <c r="A431" s="703"/>
      <c r="B431" s="292" t="s">
        <v>1429</v>
      </c>
      <c r="C431" s="329" t="s">
        <v>1044</v>
      </c>
      <c r="D431" s="303"/>
      <c r="E431" s="703"/>
      <c r="F431" s="294" t="s">
        <v>1045</v>
      </c>
      <c r="G431" s="344"/>
      <c r="H431" s="296"/>
      <c r="I431" s="296"/>
      <c r="J431" s="296"/>
      <c r="K431" s="296"/>
      <c r="L431" s="296"/>
      <c r="M431" s="296"/>
      <c r="N431" s="296"/>
      <c r="O431" s="296"/>
      <c r="P431" s="296"/>
      <c r="Q431" s="296"/>
      <c r="R431" s="296"/>
      <c r="S431" s="296"/>
      <c r="T431" s="296"/>
      <c r="U431" s="296"/>
      <c r="V431" s="296"/>
      <c r="W431" s="296"/>
      <c r="X431" s="296"/>
      <c r="Y431" s="296"/>
      <c r="Z431" s="296"/>
      <c r="AA431" s="296"/>
      <c r="AB431" s="296"/>
      <c r="AC431" s="296"/>
      <c r="AD431" s="296"/>
      <c r="AE431" s="296"/>
      <c r="AF431" s="296"/>
      <c r="AG431" s="296"/>
      <c r="AH431" s="296"/>
      <c r="AI431" s="296"/>
      <c r="AJ431" s="296"/>
      <c r="AK431" s="296">
        <f t="shared" si="135"/>
        <v>5400</v>
      </c>
      <c r="AL431" s="296">
        <f t="shared" si="135"/>
        <v>1458</v>
      </c>
      <c r="AM431" s="296">
        <f t="shared" si="135"/>
        <v>6858</v>
      </c>
      <c r="AN431" s="296">
        <v>5400</v>
      </c>
      <c r="AO431" s="296">
        <v>1458</v>
      </c>
      <c r="AP431" s="296">
        <f t="shared" si="136"/>
        <v>6858</v>
      </c>
      <c r="AQ431" s="296">
        <f t="shared" si="137"/>
        <v>0</v>
      </c>
      <c r="AR431" s="296">
        <f t="shared" si="137"/>
        <v>0</v>
      </c>
      <c r="AS431" s="296">
        <f t="shared" si="137"/>
        <v>0</v>
      </c>
      <c r="AT431" s="296">
        <v>5400</v>
      </c>
      <c r="AU431" s="296">
        <v>1458</v>
      </c>
      <c r="AV431" s="296">
        <f t="shared" si="138"/>
        <v>6858</v>
      </c>
      <c r="AW431" s="296"/>
      <c r="AX431" s="296"/>
      <c r="AY431" s="296"/>
      <c r="AZ431" s="296">
        <v>5400</v>
      </c>
      <c r="BA431" s="296">
        <v>1458</v>
      </c>
      <c r="BB431" s="296">
        <v>6858</v>
      </c>
      <c r="BC431" s="499">
        <f t="shared" si="139"/>
        <v>0</v>
      </c>
      <c r="BD431" s="499">
        <f t="shared" si="139"/>
        <v>0</v>
      </c>
      <c r="BE431" s="499">
        <f t="shared" si="139"/>
        <v>0</v>
      </c>
      <c r="BF431" s="296">
        <v>5400</v>
      </c>
      <c r="BG431" s="296">
        <v>1458</v>
      </c>
      <c r="BH431" s="296">
        <f t="shared" ref="BH431:BH441" si="140">SUM(BF431:BG431)</f>
        <v>6858</v>
      </c>
      <c r="BI431" s="723"/>
      <c r="BJ431" s="723"/>
      <c r="BK431" s="723"/>
      <c r="BL431" s="723"/>
      <c r="BM431" s="723"/>
      <c r="BN431" s="723"/>
      <c r="BO431" s="723"/>
      <c r="BP431" s="725"/>
      <c r="BQ431" s="723"/>
      <c r="BR431" s="723"/>
      <c r="BS431" s="723"/>
      <c r="BT431" s="723"/>
      <c r="BU431" s="723"/>
      <c r="BV431" s="723"/>
      <c r="BW431" s="723"/>
      <c r="BX431" s="723"/>
      <c r="BY431" s="725"/>
      <c r="BZ431" s="723"/>
      <c r="CA431" s="723"/>
      <c r="CB431" s="516">
        <v>5400000</v>
      </c>
      <c r="CC431" s="297">
        <v>6858</v>
      </c>
      <c r="CD431" s="723"/>
    </row>
    <row r="432" spans="1:82" ht="22.5" x14ac:dyDescent="0.2">
      <c r="A432" s="703"/>
      <c r="B432" s="292" t="s">
        <v>1429</v>
      </c>
      <c r="C432" s="329" t="s">
        <v>1046</v>
      </c>
      <c r="D432" s="303"/>
      <c r="E432" s="703"/>
      <c r="F432" s="294" t="s">
        <v>1047</v>
      </c>
      <c r="G432" s="344"/>
      <c r="H432" s="296"/>
      <c r="I432" s="296"/>
      <c r="J432" s="296"/>
      <c r="K432" s="296"/>
      <c r="L432" s="296"/>
      <c r="M432" s="296"/>
      <c r="N432" s="296"/>
      <c r="O432" s="296"/>
      <c r="P432" s="296"/>
      <c r="Q432" s="296"/>
      <c r="R432" s="296"/>
      <c r="S432" s="296"/>
      <c r="T432" s="296"/>
      <c r="U432" s="296"/>
      <c r="V432" s="296"/>
      <c r="W432" s="296"/>
      <c r="X432" s="296"/>
      <c r="Y432" s="296"/>
      <c r="Z432" s="296"/>
      <c r="AA432" s="296"/>
      <c r="AB432" s="296"/>
      <c r="AC432" s="296"/>
      <c r="AD432" s="296"/>
      <c r="AE432" s="296"/>
      <c r="AF432" s="296"/>
      <c r="AG432" s="296"/>
      <c r="AH432" s="296"/>
      <c r="AI432" s="296"/>
      <c r="AJ432" s="296"/>
      <c r="AK432" s="296">
        <f t="shared" si="135"/>
        <v>2363</v>
      </c>
      <c r="AL432" s="296">
        <f t="shared" si="135"/>
        <v>637</v>
      </c>
      <c r="AM432" s="296">
        <f t="shared" si="135"/>
        <v>3000</v>
      </c>
      <c r="AN432" s="296">
        <v>2363</v>
      </c>
      <c r="AO432" s="296">
        <v>637</v>
      </c>
      <c r="AP432" s="296">
        <f t="shared" si="136"/>
        <v>3000</v>
      </c>
      <c r="AQ432" s="296">
        <f t="shared" si="137"/>
        <v>2361</v>
      </c>
      <c r="AR432" s="296">
        <f t="shared" si="137"/>
        <v>639</v>
      </c>
      <c r="AS432" s="296">
        <f t="shared" si="137"/>
        <v>3000</v>
      </c>
      <c r="AT432" s="296">
        <v>4724</v>
      </c>
      <c r="AU432" s="296">
        <v>1276</v>
      </c>
      <c r="AV432" s="296">
        <f t="shared" si="138"/>
        <v>6000</v>
      </c>
      <c r="AW432" s="296"/>
      <c r="AX432" s="296"/>
      <c r="AY432" s="296"/>
      <c r="AZ432" s="296">
        <v>4724</v>
      </c>
      <c r="BA432" s="296">
        <v>1276</v>
      </c>
      <c r="BB432" s="296">
        <v>6000</v>
      </c>
      <c r="BC432" s="499">
        <f t="shared" si="139"/>
        <v>-1424</v>
      </c>
      <c r="BD432" s="499">
        <f t="shared" si="139"/>
        <v>-385</v>
      </c>
      <c r="BE432" s="499">
        <f t="shared" si="139"/>
        <v>-1809</v>
      </c>
      <c r="BF432" s="296">
        <v>3300</v>
      </c>
      <c r="BG432" s="296">
        <v>891</v>
      </c>
      <c r="BH432" s="296">
        <f t="shared" si="140"/>
        <v>4191</v>
      </c>
      <c r="BI432" s="723"/>
      <c r="BJ432" s="723"/>
      <c r="BK432" s="723"/>
      <c r="BL432" s="723"/>
      <c r="BM432" s="723"/>
      <c r="BN432" s="723"/>
      <c r="BO432" s="723"/>
      <c r="BP432" s="725"/>
      <c r="BQ432" s="723"/>
      <c r="BR432" s="723"/>
      <c r="BS432" s="723"/>
      <c r="BT432" s="723"/>
      <c r="BU432" s="723"/>
      <c r="BV432" s="723"/>
      <c r="BW432" s="723"/>
      <c r="BX432" s="723"/>
      <c r="BY432" s="725"/>
      <c r="BZ432" s="723"/>
      <c r="CA432" s="723"/>
      <c r="CB432" s="516">
        <v>3300000</v>
      </c>
      <c r="CC432" s="297">
        <v>4191</v>
      </c>
      <c r="CD432" s="723"/>
    </row>
    <row r="433" spans="1:82" ht="22.5" x14ac:dyDescent="0.2">
      <c r="A433" s="703"/>
      <c r="B433" s="292" t="s">
        <v>1429</v>
      </c>
      <c r="C433" s="293" t="s">
        <v>1048</v>
      </c>
      <c r="D433" s="303"/>
      <c r="E433" s="703"/>
      <c r="F433" s="294" t="s">
        <v>1049</v>
      </c>
      <c r="G433" s="344"/>
      <c r="H433" s="296"/>
      <c r="I433" s="296"/>
      <c r="J433" s="296"/>
      <c r="K433" s="296"/>
      <c r="L433" s="296"/>
      <c r="M433" s="296"/>
      <c r="N433" s="296"/>
      <c r="O433" s="296"/>
      <c r="P433" s="296"/>
      <c r="Q433" s="296"/>
      <c r="R433" s="296"/>
      <c r="S433" s="296"/>
      <c r="T433" s="296"/>
      <c r="U433" s="296"/>
      <c r="V433" s="296"/>
      <c r="W433" s="296"/>
      <c r="X433" s="296"/>
      <c r="Y433" s="296"/>
      <c r="Z433" s="296"/>
      <c r="AA433" s="296"/>
      <c r="AB433" s="296"/>
      <c r="AC433" s="296"/>
      <c r="AD433" s="296"/>
      <c r="AE433" s="296"/>
      <c r="AF433" s="296"/>
      <c r="AG433" s="296"/>
      <c r="AH433" s="296"/>
      <c r="AI433" s="296"/>
      <c r="AJ433" s="296"/>
      <c r="AK433" s="296">
        <f t="shared" si="135"/>
        <v>490</v>
      </c>
      <c r="AL433" s="296">
        <f t="shared" si="135"/>
        <v>132</v>
      </c>
      <c r="AM433" s="296">
        <f t="shared" si="135"/>
        <v>622</v>
      </c>
      <c r="AN433" s="296">
        <v>490</v>
      </c>
      <c r="AO433" s="296">
        <v>132</v>
      </c>
      <c r="AP433" s="296">
        <f t="shared" si="136"/>
        <v>622</v>
      </c>
      <c r="AQ433" s="296">
        <f t="shared" si="137"/>
        <v>0</v>
      </c>
      <c r="AR433" s="296">
        <f t="shared" si="137"/>
        <v>0</v>
      </c>
      <c r="AS433" s="296">
        <f t="shared" si="137"/>
        <v>0</v>
      </c>
      <c r="AT433" s="296">
        <v>490</v>
      </c>
      <c r="AU433" s="296">
        <v>132</v>
      </c>
      <c r="AV433" s="296">
        <f t="shared" si="138"/>
        <v>622</v>
      </c>
      <c r="AW433" s="296"/>
      <c r="AX433" s="296"/>
      <c r="AY433" s="296"/>
      <c r="AZ433" s="296">
        <v>490</v>
      </c>
      <c r="BA433" s="296">
        <v>132</v>
      </c>
      <c r="BB433" s="296">
        <v>622</v>
      </c>
      <c r="BC433" s="499">
        <f t="shared" si="139"/>
        <v>0</v>
      </c>
      <c r="BD433" s="499">
        <f t="shared" si="139"/>
        <v>0</v>
      </c>
      <c r="BE433" s="499">
        <f t="shared" si="139"/>
        <v>0</v>
      </c>
      <c r="BF433" s="296">
        <v>490</v>
      </c>
      <c r="BG433" s="296">
        <v>132</v>
      </c>
      <c r="BH433" s="296">
        <f t="shared" si="140"/>
        <v>622</v>
      </c>
      <c r="BI433" s="723"/>
      <c r="BJ433" s="723"/>
      <c r="BK433" s="723"/>
      <c r="BL433" s="723"/>
      <c r="BM433" s="723"/>
      <c r="BN433" s="723"/>
      <c r="BO433" s="723"/>
      <c r="BP433" s="725"/>
      <c r="BQ433" s="723"/>
      <c r="BR433" s="723"/>
      <c r="BS433" s="723"/>
      <c r="BT433" s="723"/>
      <c r="BU433" s="723"/>
      <c r="BV433" s="723"/>
      <c r="BW433" s="723"/>
      <c r="BX433" s="723"/>
      <c r="BY433" s="725"/>
      <c r="BZ433" s="723"/>
      <c r="CA433" s="723"/>
      <c r="CB433" s="516">
        <v>490000</v>
      </c>
      <c r="CC433" s="297">
        <v>622</v>
      </c>
      <c r="CD433" s="723"/>
    </row>
    <row r="434" spans="1:82" ht="22.5" x14ac:dyDescent="0.2">
      <c r="A434" s="703"/>
      <c r="B434" s="292" t="s">
        <v>1429</v>
      </c>
      <c r="C434" s="293" t="s">
        <v>1050</v>
      </c>
      <c r="D434" s="303"/>
      <c r="E434" s="703"/>
      <c r="F434" s="294" t="s">
        <v>1051</v>
      </c>
      <c r="G434" s="344"/>
      <c r="H434" s="296"/>
      <c r="I434" s="296"/>
      <c r="J434" s="296"/>
      <c r="K434" s="296"/>
      <c r="L434" s="296"/>
      <c r="M434" s="296"/>
      <c r="N434" s="296"/>
      <c r="O434" s="296"/>
      <c r="P434" s="296"/>
      <c r="Q434" s="296"/>
      <c r="R434" s="296"/>
      <c r="S434" s="296"/>
      <c r="T434" s="296"/>
      <c r="U434" s="296"/>
      <c r="V434" s="296"/>
      <c r="W434" s="296"/>
      <c r="X434" s="296"/>
      <c r="Y434" s="296"/>
      <c r="Z434" s="296"/>
      <c r="AA434" s="296"/>
      <c r="AB434" s="296"/>
      <c r="AC434" s="296"/>
      <c r="AD434" s="296"/>
      <c r="AE434" s="296"/>
      <c r="AF434" s="296"/>
      <c r="AG434" s="296"/>
      <c r="AH434" s="296"/>
      <c r="AI434" s="296"/>
      <c r="AJ434" s="296"/>
      <c r="AK434" s="296">
        <f t="shared" si="135"/>
        <v>300</v>
      </c>
      <c r="AL434" s="296">
        <f t="shared" si="135"/>
        <v>82</v>
      </c>
      <c r="AM434" s="296">
        <f t="shared" si="135"/>
        <v>382</v>
      </c>
      <c r="AN434" s="296">
        <v>300</v>
      </c>
      <c r="AO434" s="296">
        <v>82</v>
      </c>
      <c r="AP434" s="296">
        <f t="shared" si="136"/>
        <v>382</v>
      </c>
      <c r="AQ434" s="296">
        <f t="shared" si="137"/>
        <v>0</v>
      </c>
      <c r="AR434" s="296">
        <f t="shared" si="137"/>
        <v>0</v>
      </c>
      <c r="AS434" s="296">
        <f t="shared" si="137"/>
        <v>0</v>
      </c>
      <c r="AT434" s="296">
        <v>300</v>
      </c>
      <c r="AU434" s="296">
        <v>82</v>
      </c>
      <c r="AV434" s="296">
        <f t="shared" si="138"/>
        <v>382</v>
      </c>
      <c r="AW434" s="296"/>
      <c r="AX434" s="296"/>
      <c r="AY434" s="296"/>
      <c r="AZ434" s="296">
        <v>300</v>
      </c>
      <c r="BA434" s="296">
        <v>82</v>
      </c>
      <c r="BB434" s="296">
        <v>382</v>
      </c>
      <c r="BC434" s="499">
        <f t="shared" si="139"/>
        <v>-150</v>
      </c>
      <c r="BD434" s="499">
        <f t="shared" si="139"/>
        <v>-42</v>
      </c>
      <c r="BE434" s="499">
        <f t="shared" si="139"/>
        <v>-192</v>
      </c>
      <c r="BF434" s="296">
        <v>150</v>
      </c>
      <c r="BG434" s="296">
        <v>40</v>
      </c>
      <c r="BH434" s="296">
        <f t="shared" si="140"/>
        <v>190</v>
      </c>
      <c r="BI434" s="723"/>
      <c r="BJ434" s="723"/>
      <c r="BK434" s="723"/>
      <c r="BL434" s="723"/>
      <c r="BM434" s="723"/>
      <c r="BN434" s="723"/>
      <c r="BO434" s="723"/>
      <c r="BP434" s="725"/>
      <c r="BQ434" s="723"/>
      <c r="BR434" s="723"/>
      <c r="BS434" s="723"/>
      <c r="BT434" s="723"/>
      <c r="BU434" s="723"/>
      <c r="BV434" s="723"/>
      <c r="BW434" s="723"/>
      <c r="BX434" s="723"/>
      <c r="BY434" s="725"/>
      <c r="BZ434" s="723"/>
      <c r="CA434" s="723"/>
      <c r="CB434" s="516">
        <v>150000</v>
      </c>
      <c r="CC434" s="297">
        <v>190</v>
      </c>
      <c r="CD434" s="723"/>
    </row>
    <row r="435" spans="1:82" ht="22.5" x14ac:dyDescent="0.2">
      <c r="A435" s="703"/>
      <c r="B435" s="292" t="s">
        <v>1429</v>
      </c>
      <c r="C435" s="293" t="s">
        <v>1052</v>
      </c>
      <c r="D435" s="303"/>
      <c r="E435" s="703"/>
      <c r="F435" s="294" t="s">
        <v>1053</v>
      </c>
      <c r="G435" s="344"/>
      <c r="H435" s="296"/>
      <c r="I435" s="296"/>
      <c r="J435" s="296"/>
      <c r="K435" s="296"/>
      <c r="L435" s="296"/>
      <c r="M435" s="296"/>
      <c r="N435" s="296"/>
      <c r="O435" s="296"/>
      <c r="P435" s="296"/>
      <c r="Q435" s="296"/>
      <c r="R435" s="296"/>
      <c r="S435" s="296"/>
      <c r="T435" s="296"/>
      <c r="U435" s="296"/>
      <c r="V435" s="296"/>
      <c r="W435" s="296"/>
      <c r="X435" s="296"/>
      <c r="Y435" s="296"/>
      <c r="Z435" s="296"/>
      <c r="AA435" s="296"/>
      <c r="AB435" s="296"/>
      <c r="AC435" s="296"/>
      <c r="AD435" s="296"/>
      <c r="AE435" s="296"/>
      <c r="AF435" s="296"/>
      <c r="AG435" s="296"/>
      <c r="AH435" s="296"/>
      <c r="AI435" s="296"/>
      <c r="AJ435" s="296"/>
      <c r="AK435" s="296">
        <f t="shared" si="135"/>
        <v>750</v>
      </c>
      <c r="AL435" s="296">
        <f t="shared" si="135"/>
        <v>202</v>
      </c>
      <c r="AM435" s="296">
        <f t="shared" si="135"/>
        <v>952</v>
      </c>
      <c r="AN435" s="296">
        <v>750</v>
      </c>
      <c r="AO435" s="296">
        <v>202</v>
      </c>
      <c r="AP435" s="296">
        <f t="shared" si="136"/>
        <v>952</v>
      </c>
      <c r="AQ435" s="296">
        <f t="shared" si="137"/>
        <v>0</v>
      </c>
      <c r="AR435" s="296">
        <f t="shared" si="137"/>
        <v>0</v>
      </c>
      <c r="AS435" s="296">
        <f t="shared" si="137"/>
        <v>0</v>
      </c>
      <c r="AT435" s="296">
        <v>750</v>
      </c>
      <c r="AU435" s="296">
        <v>202</v>
      </c>
      <c r="AV435" s="296">
        <f t="shared" si="138"/>
        <v>952</v>
      </c>
      <c r="AW435" s="296"/>
      <c r="AX435" s="296"/>
      <c r="AY435" s="296"/>
      <c r="AZ435" s="296">
        <v>750</v>
      </c>
      <c r="BA435" s="296">
        <v>202</v>
      </c>
      <c r="BB435" s="296">
        <v>952</v>
      </c>
      <c r="BC435" s="499">
        <f t="shared" si="139"/>
        <v>-500</v>
      </c>
      <c r="BD435" s="499">
        <f t="shared" si="139"/>
        <v>-134</v>
      </c>
      <c r="BE435" s="499">
        <f t="shared" si="139"/>
        <v>-635</v>
      </c>
      <c r="BF435" s="296">
        <v>250</v>
      </c>
      <c r="BG435" s="296">
        <v>68</v>
      </c>
      <c r="BH435" s="296">
        <v>317</v>
      </c>
      <c r="BI435" s="723"/>
      <c r="BJ435" s="723"/>
      <c r="BK435" s="723"/>
      <c r="BL435" s="723"/>
      <c r="BM435" s="723"/>
      <c r="BN435" s="723"/>
      <c r="BO435" s="723"/>
      <c r="BP435" s="725"/>
      <c r="BQ435" s="723"/>
      <c r="BR435" s="723"/>
      <c r="BS435" s="723"/>
      <c r="BT435" s="723"/>
      <c r="BU435" s="723"/>
      <c r="BV435" s="723"/>
      <c r="BW435" s="723"/>
      <c r="BX435" s="723"/>
      <c r="BY435" s="725"/>
      <c r="BZ435" s="723"/>
      <c r="CA435" s="723"/>
      <c r="CB435" s="516">
        <v>250000</v>
      </c>
      <c r="CC435" s="297">
        <v>317</v>
      </c>
      <c r="CD435" s="723"/>
    </row>
    <row r="436" spans="1:82" ht="22.5" x14ac:dyDescent="0.2">
      <c r="A436" s="703"/>
      <c r="B436" s="292" t="s">
        <v>1429</v>
      </c>
      <c r="C436" s="293" t="s">
        <v>1054</v>
      </c>
      <c r="D436" s="303" t="s">
        <v>1055</v>
      </c>
      <c r="E436" s="703"/>
      <c r="F436" s="294" t="s">
        <v>1056</v>
      </c>
      <c r="G436" s="344"/>
      <c r="H436" s="296"/>
      <c r="I436" s="296"/>
      <c r="J436" s="296"/>
      <c r="K436" s="296"/>
      <c r="L436" s="296"/>
      <c r="M436" s="296"/>
      <c r="N436" s="296"/>
      <c r="O436" s="296"/>
      <c r="P436" s="296"/>
      <c r="Q436" s="296"/>
      <c r="R436" s="296"/>
      <c r="S436" s="296"/>
      <c r="T436" s="296"/>
      <c r="U436" s="296"/>
      <c r="V436" s="296"/>
      <c r="W436" s="296"/>
      <c r="X436" s="296"/>
      <c r="Y436" s="296"/>
      <c r="Z436" s="296"/>
      <c r="AA436" s="296"/>
      <c r="AB436" s="296"/>
      <c r="AC436" s="296"/>
      <c r="AD436" s="296"/>
      <c r="AE436" s="296"/>
      <c r="AF436" s="296"/>
      <c r="AG436" s="296"/>
      <c r="AH436" s="296"/>
      <c r="AI436" s="296"/>
      <c r="AJ436" s="296"/>
      <c r="AK436" s="296">
        <f t="shared" si="135"/>
        <v>4745</v>
      </c>
      <c r="AL436" s="296">
        <f t="shared" si="135"/>
        <v>0</v>
      </c>
      <c r="AM436" s="296">
        <f t="shared" si="135"/>
        <v>4745</v>
      </c>
      <c r="AN436" s="296">
        <v>4745</v>
      </c>
      <c r="AO436" s="296">
        <v>0</v>
      </c>
      <c r="AP436" s="296">
        <f t="shared" si="136"/>
        <v>4745</v>
      </c>
      <c r="AQ436" s="296">
        <f t="shared" si="137"/>
        <v>0</v>
      </c>
      <c r="AR436" s="296">
        <f t="shared" si="137"/>
        <v>0</v>
      </c>
      <c r="AS436" s="296">
        <f t="shared" si="137"/>
        <v>0</v>
      </c>
      <c r="AT436" s="296">
        <v>4745</v>
      </c>
      <c r="AU436" s="296">
        <v>0</v>
      </c>
      <c r="AV436" s="296">
        <f t="shared" si="138"/>
        <v>4745</v>
      </c>
      <c r="AW436" s="296"/>
      <c r="AX436" s="296"/>
      <c r="AY436" s="296"/>
      <c r="AZ436" s="296">
        <v>4745</v>
      </c>
      <c r="BA436" s="296">
        <v>0</v>
      </c>
      <c r="BB436" s="296">
        <v>4745</v>
      </c>
      <c r="BC436" s="499">
        <f t="shared" si="139"/>
        <v>-4270</v>
      </c>
      <c r="BD436" s="499">
        <f t="shared" si="139"/>
        <v>0</v>
      </c>
      <c r="BE436" s="499">
        <f t="shared" si="139"/>
        <v>-4270</v>
      </c>
      <c r="BF436" s="296">
        <v>475</v>
      </c>
      <c r="BG436" s="296">
        <v>0</v>
      </c>
      <c r="BH436" s="296">
        <f t="shared" si="140"/>
        <v>475</v>
      </c>
      <c r="BI436" s="723"/>
      <c r="BJ436" s="723"/>
      <c r="BK436" s="723"/>
      <c r="BL436" s="723"/>
      <c r="BM436" s="723"/>
      <c r="BN436" s="723"/>
      <c r="BO436" s="723"/>
      <c r="BP436" s="725"/>
      <c r="BQ436" s="723"/>
      <c r="BR436" s="723"/>
      <c r="BS436" s="723"/>
      <c r="BT436" s="723"/>
      <c r="BU436" s="723"/>
      <c r="BV436" s="723"/>
      <c r="BW436" s="723"/>
      <c r="BX436" s="723"/>
      <c r="BY436" s="725"/>
      <c r="BZ436" s="723"/>
      <c r="CA436" s="723"/>
      <c r="CB436" s="516">
        <v>474500</v>
      </c>
      <c r="CC436" s="297">
        <v>475</v>
      </c>
      <c r="CD436" s="723"/>
    </row>
    <row r="437" spans="1:82" ht="12" customHeight="1" x14ac:dyDescent="0.2">
      <c r="A437" s="703"/>
      <c r="B437" s="292" t="s">
        <v>1429</v>
      </c>
      <c r="C437" s="293" t="s">
        <v>1274</v>
      </c>
      <c r="D437" s="303"/>
      <c r="E437" s="703"/>
      <c r="F437" s="294" t="s">
        <v>1275</v>
      </c>
      <c r="G437" s="344"/>
      <c r="H437" s="296"/>
      <c r="I437" s="296"/>
      <c r="J437" s="296"/>
      <c r="K437" s="296"/>
      <c r="L437" s="296"/>
      <c r="M437" s="296"/>
      <c r="N437" s="296"/>
      <c r="O437" s="296"/>
      <c r="P437" s="296"/>
      <c r="Q437" s="296"/>
      <c r="R437" s="296"/>
      <c r="S437" s="296"/>
      <c r="T437" s="296"/>
      <c r="U437" s="296"/>
      <c r="V437" s="296"/>
      <c r="W437" s="296"/>
      <c r="X437" s="296"/>
      <c r="Y437" s="296"/>
      <c r="Z437" s="296"/>
      <c r="AA437" s="296"/>
      <c r="AB437" s="296"/>
      <c r="AC437" s="296"/>
      <c r="AD437" s="296"/>
      <c r="AE437" s="296"/>
      <c r="AF437" s="296"/>
      <c r="AG437" s="296"/>
      <c r="AH437" s="296"/>
      <c r="AI437" s="296"/>
      <c r="AJ437" s="296"/>
      <c r="AK437" s="296"/>
      <c r="AL437" s="296"/>
      <c r="AM437" s="296"/>
      <c r="AN437" s="296"/>
      <c r="AO437" s="296"/>
      <c r="AP437" s="296"/>
      <c r="AQ437" s="296">
        <f t="shared" si="137"/>
        <v>24509</v>
      </c>
      <c r="AR437" s="296">
        <f t="shared" si="137"/>
        <v>6617</v>
      </c>
      <c r="AS437" s="296">
        <f t="shared" si="137"/>
        <v>31126</v>
      </c>
      <c r="AT437" s="296">
        <v>24509</v>
      </c>
      <c r="AU437" s="296">
        <v>6617</v>
      </c>
      <c r="AV437" s="296">
        <f>SUM(AT437:AU437)</f>
        <v>31126</v>
      </c>
      <c r="AW437" s="296"/>
      <c r="AX437" s="296"/>
      <c r="AY437" s="296"/>
      <c r="AZ437" s="296">
        <v>24509</v>
      </c>
      <c r="BA437" s="296">
        <v>6617</v>
      </c>
      <c r="BB437" s="296">
        <v>31126</v>
      </c>
      <c r="BC437" s="499">
        <f t="shared" si="139"/>
        <v>0</v>
      </c>
      <c r="BD437" s="499">
        <f t="shared" si="139"/>
        <v>0</v>
      </c>
      <c r="BE437" s="499">
        <f t="shared" si="139"/>
        <v>0</v>
      </c>
      <c r="BF437" s="296">
        <v>24509</v>
      </c>
      <c r="BG437" s="296">
        <v>6617</v>
      </c>
      <c r="BH437" s="296">
        <f t="shared" si="140"/>
        <v>31126</v>
      </c>
      <c r="BI437" s="723"/>
      <c r="BJ437" s="723"/>
      <c r="BK437" s="723"/>
      <c r="BL437" s="723"/>
      <c r="BM437" s="723"/>
      <c r="BN437" s="723"/>
      <c r="BO437" s="723"/>
      <c r="BP437" s="725"/>
      <c r="BQ437" s="723"/>
      <c r="BR437" s="723"/>
      <c r="BS437" s="723"/>
      <c r="BT437" s="723"/>
      <c r="BU437" s="723"/>
      <c r="BV437" s="723"/>
      <c r="BW437" s="723"/>
      <c r="BX437" s="723"/>
      <c r="BY437" s="725"/>
      <c r="BZ437" s="723"/>
      <c r="CA437" s="723"/>
      <c r="CB437" s="516">
        <v>5789452</v>
      </c>
      <c r="CC437" s="297">
        <v>7353</v>
      </c>
      <c r="CD437" s="723"/>
    </row>
    <row r="438" spans="1:82" ht="22.5" x14ac:dyDescent="0.2">
      <c r="A438" s="703"/>
      <c r="B438" s="292" t="s">
        <v>1429</v>
      </c>
      <c r="C438" s="293" t="s">
        <v>1276</v>
      </c>
      <c r="D438" s="303"/>
      <c r="E438" s="703"/>
      <c r="F438" s="294" t="s">
        <v>1277</v>
      </c>
      <c r="G438" s="344"/>
      <c r="H438" s="296"/>
      <c r="I438" s="296"/>
      <c r="J438" s="296"/>
      <c r="K438" s="296"/>
      <c r="L438" s="296"/>
      <c r="M438" s="296"/>
      <c r="N438" s="296"/>
      <c r="O438" s="296"/>
      <c r="P438" s="296"/>
      <c r="Q438" s="296"/>
      <c r="R438" s="296"/>
      <c r="S438" s="296"/>
      <c r="T438" s="296"/>
      <c r="U438" s="296"/>
      <c r="V438" s="296"/>
      <c r="W438" s="296"/>
      <c r="X438" s="296"/>
      <c r="Y438" s="296"/>
      <c r="Z438" s="296"/>
      <c r="AA438" s="296"/>
      <c r="AB438" s="296"/>
      <c r="AC438" s="296"/>
      <c r="AD438" s="296"/>
      <c r="AE438" s="296"/>
      <c r="AF438" s="296"/>
      <c r="AG438" s="296"/>
      <c r="AH438" s="296"/>
      <c r="AI438" s="296"/>
      <c r="AJ438" s="296"/>
      <c r="AK438" s="296"/>
      <c r="AL438" s="296"/>
      <c r="AM438" s="296"/>
      <c r="AN438" s="296"/>
      <c r="AO438" s="296"/>
      <c r="AP438" s="296"/>
      <c r="AQ438" s="296">
        <f t="shared" si="137"/>
        <v>1091</v>
      </c>
      <c r="AR438" s="296">
        <f t="shared" si="137"/>
        <v>294</v>
      </c>
      <c r="AS438" s="296">
        <f t="shared" si="137"/>
        <v>1385</v>
      </c>
      <c r="AT438" s="296">
        <v>1091</v>
      </c>
      <c r="AU438" s="296">
        <v>294</v>
      </c>
      <c r="AV438" s="296">
        <f>SUM(AT438:AU438)</f>
        <v>1385</v>
      </c>
      <c r="AW438" s="296"/>
      <c r="AX438" s="296"/>
      <c r="AY438" s="296"/>
      <c r="AZ438" s="296">
        <v>1091</v>
      </c>
      <c r="BA438" s="296">
        <v>294</v>
      </c>
      <c r="BB438" s="296">
        <v>1385</v>
      </c>
      <c r="BC438" s="499">
        <f t="shared" si="139"/>
        <v>0</v>
      </c>
      <c r="BD438" s="499">
        <f t="shared" si="139"/>
        <v>0</v>
      </c>
      <c r="BE438" s="499">
        <f t="shared" si="139"/>
        <v>0</v>
      </c>
      <c r="BF438" s="296">
        <v>1091</v>
      </c>
      <c r="BG438" s="296">
        <v>294</v>
      </c>
      <c r="BH438" s="296">
        <f t="shared" si="140"/>
        <v>1385</v>
      </c>
      <c r="BI438" s="723"/>
      <c r="BJ438" s="723"/>
      <c r="BK438" s="723"/>
      <c r="BL438" s="723"/>
      <c r="BM438" s="723"/>
      <c r="BN438" s="723"/>
      <c r="BO438" s="723"/>
      <c r="BP438" s="725"/>
      <c r="BQ438" s="723"/>
      <c r="BR438" s="723"/>
      <c r="BS438" s="723"/>
      <c r="BT438" s="723"/>
      <c r="BU438" s="723"/>
      <c r="BV438" s="723"/>
      <c r="BW438" s="723"/>
      <c r="BX438" s="723"/>
      <c r="BY438" s="725"/>
      <c r="BZ438" s="723"/>
      <c r="CA438" s="723"/>
      <c r="CB438" s="516">
        <v>1091215</v>
      </c>
      <c r="CC438" s="297">
        <v>1386</v>
      </c>
      <c r="CD438" s="723"/>
    </row>
    <row r="439" spans="1:82" ht="22.5" x14ac:dyDescent="0.2">
      <c r="A439" s="703"/>
      <c r="B439" s="292" t="s">
        <v>1429</v>
      </c>
      <c r="C439" s="293" t="s">
        <v>1607</v>
      </c>
      <c r="D439" s="303"/>
      <c r="E439" s="703"/>
      <c r="F439" s="294" t="s">
        <v>1278</v>
      </c>
      <c r="G439" s="344"/>
      <c r="H439" s="296"/>
      <c r="I439" s="296"/>
      <c r="J439" s="296"/>
      <c r="K439" s="296"/>
      <c r="L439" s="296"/>
      <c r="M439" s="296"/>
      <c r="N439" s="296"/>
      <c r="O439" s="296"/>
      <c r="P439" s="296"/>
      <c r="Q439" s="296"/>
      <c r="R439" s="296"/>
      <c r="S439" s="296"/>
      <c r="T439" s="296"/>
      <c r="U439" s="296"/>
      <c r="V439" s="296"/>
      <c r="W439" s="296"/>
      <c r="X439" s="296"/>
      <c r="Y439" s="296"/>
      <c r="Z439" s="296"/>
      <c r="AA439" s="296"/>
      <c r="AB439" s="296"/>
      <c r="AC439" s="296"/>
      <c r="AD439" s="296"/>
      <c r="AE439" s="296"/>
      <c r="AF439" s="296"/>
      <c r="AG439" s="296"/>
      <c r="AH439" s="296"/>
      <c r="AI439" s="296"/>
      <c r="AJ439" s="296"/>
      <c r="AK439" s="296"/>
      <c r="AL439" s="296"/>
      <c r="AM439" s="296"/>
      <c r="AN439" s="296"/>
      <c r="AO439" s="296"/>
      <c r="AP439" s="296"/>
      <c r="AQ439" s="296">
        <f t="shared" si="137"/>
        <v>232</v>
      </c>
      <c r="AR439" s="296">
        <f t="shared" si="137"/>
        <v>63</v>
      </c>
      <c r="AS439" s="296">
        <f t="shared" si="137"/>
        <v>295</v>
      </c>
      <c r="AT439" s="296">
        <v>232</v>
      </c>
      <c r="AU439" s="296">
        <v>63</v>
      </c>
      <c r="AV439" s="296">
        <f>SUM(AT439:AU439)</f>
        <v>295</v>
      </c>
      <c r="AW439" s="296"/>
      <c r="AX439" s="296"/>
      <c r="AY439" s="296"/>
      <c r="AZ439" s="296">
        <v>232</v>
      </c>
      <c r="BA439" s="296">
        <v>63</v>
      </c>
      <c r="BB439" s="296">
        <v>295</v>
      </c>
      <c r="BC439" s="499">
        <f t="shared" si="139"/>
        <v>0</v>
      </c>
      <c r="BD439" s="499">
        <f t="shared" si="139"/>
        <v>0</v>
      </c>
      <c r="BE439" s="499">
        <f t="shared" si="139"/>
        <v>0</v>
      </c>
      <c r="BF439" s="296">
        <v>232</v>
      </c>
      <c r="BG439" s="296">
        <v>63</v>
      </c>
      <c r="BH439" s="296">
        <f t="shared" si="140"/>
        <v>295</v>
      </c>
      <c r="BI439" s="723"/>
      <c r="BJ439" s="723"/>
      <c r="BK439" s="723"/>
      <c r="BL439" s="723"/>
      <c r="BM439" s="723"/>
      <c r="BN439" s="723"/>
      <c r="BO439" s="723"/>
      <c r="BP439" s="725"/>
      <c r="BQ439" s="723"/>
      <c r="BR439" s="723"/>
      <c r="BS439" s="723"/>
      <c r="BT439" s="723"/>
      <c r="BU439" s="723"/>
      <c r="BV439" s="723"/>
      <c r="BW439" s="723"/>
      <c r="BX439" s="723"/>
      <c r="BY439" s="725"/>
      <c r="BZ439" s="723"/>
      <c r="CA439" s="723"/>
      <c r="CB439" s="516">
        <v>232500</v>
      </c>
      <c r="CC439" s="297">
        <v>295</v>
      </c>
      <c r="CD439" s="723"/>
    </row>
    <row r="440" spans="1:82" x14ac:dyDescent="0.2">
      <c r="A440" s="703"/>
      <c r="B440" s="292" t="s">
        <v>1429</v>
      </c>
      <c r="C440" s="293" t="s">
        <v>1608</v>
      </c>
      <c r="D440" s="303"/>
      <c r="E440" s="703"/>
      <c r="F440" s="294" t="s">
        <v>1279</v>
      </c>
      <c r="G440" s="344"/>
      <c r="H440" s="296"/>
      <c r="I440" s="296"/>
      <c r="J440" s="296"/>
      <c r="K440" s="296"/>
      <c r="L440" s="296"/>
      <c r="M440" s="296"/>
      <c r="N440" s="296"/>
      <c r="O440" s="296"/>
      <c r="P440" s="296"/>
      <c r="Q440" s="296"/>
      <c r="R440" s="296"/>
      <c r="S440" s="296"/>
      <c r="T440" s="296"/>
      <c r="U440" s="296"/>
      <c r="V440" s="296"/>
      <c r="W440" s="296"/>
      <c r="X440" s="296"/>
      <c r="Y440" s="296"/>
      <c r="Z440" s="296"/>
      <c r="AA440" s="296"/>
      <c r="AB440" s="296"/>
      <c r="AC440" s="296"/>
      <c r="AD440" s="296"/>
      <c r="AE440" s="296"/>
      <c r="AF440" s="296"/>
      <c r="AG440" s="296"/>
      <c r="AH440" s="296"/>
      <c r="AI440" s="296"/>
      <c r="AJ440" s="296"/>
      <c r="AK440" s="296"/>
      <c r="AL440" s="296"/>
      <c r="AM440" s="296"/>
      <c r="AN440" s="296"/>
      <c r="AO440" s="296"/>
      <c r="AP440" s="296"/>
      <c r="AQ440" s="296">
        <f t="shared" si="137"/>
        <v>409</v>
      </c>
      <c r="AR440" s="296">
        <f t="shared" si="137"/>
        <v>110</v>
      </c>
      <c r="AS440" s="296">
        <f t="shared" si="137"/>
        <v>519</v>
      </c>
      <c r="AT440" s="296">
        <v>409</v>
      </c>
      <c r="AU440" s="296">
        <v>110</v>
      </c>
      <c r="AV440" s="296">
        <f>SUM(AT440:AU440)</f>
        <v>519</v>
      </c>
      <c r="AW440" s="296"/>
      <c r="AX440" s="296"/>
      <c r="AY440" s="296"/>
      <c r="AZ440" s="296">
        <v>409</v>
      </c>
      <c r="BA440" s="296">
        <v>110</v>
      </c>
      <c r="BB440" s="296">
        <v>519</v>
      </c>
      <c r="BC440" s="499">
        <f t="shared" si="139"/>
        <v>0</v>
      </c>
      <c r="BD440" s="499">
        <f t="shared" si="139"/>
        <v>0</v>
      </c>
      <c r="BE440" s="499">
        <f t="shared" si="139"/>
        <v>0</v>
      </c>
      <c r="BF440" s="296">
        <v>409</v>
      </c>
      <c r="BG440" s="296">
        <v>110</v>
      </c>
      <c r="BH440" s="296">
        <f t="shared" si="140"/>
        <v>519</v>
      </c>
      <c r="BI440" s="723"/>
      <c r="BJ440" s="723"/>
      <c r="BK440" s="723"/>
      <c r="BL440" s="723"/>
      <c r="BM440" s="723"/>
      <c r="BN440" s="723"/>
      <c r="BO440" s="723"/>
      <c r="BP440" s="725"/>
      <c r="BQ440" s="723"/>
      <c r="BR440" s="723"/>
      <c r="BS440" s="723"/>
      <c r="BT440" s="723"/>
      <c r="BU440" s="723"/>
      <c r="BV440" s="723"/>
      <c r="BW440" s="723"/>
      <c r="BX440" s="723"/>
      <c r="BY440" s="725"/>
      <c r="BZ440" s="723"/>
      <c r="CA440" s="723"/>
      <c r="CB440" s="516">
        <v>409080</v>
      </c>
      <c r="CC440" s="297">
        <v>519</v>
      </c>
      <c r="CD440" s="723"/>
    </row>
    <row r="441" spans="1:82" ht="22.5" x14ac:dyDescent="0.2">
      <c r="A441" s="703"/>
      <c r="B441" s="292" t="s">
        <v>1429</v>
      </c>
      <c r="C441" s="293" t="s">
        <v>1609</v>
      </c>
      <c r="D441" s="303"/>
      <c r="E441" s="703"/>
      <c r="F441" s="294" t="s">
        <v>1610</v>
      </c>
      <c r="G441" s="344"/>
      <c r="H441" s="296"/>
      <c r="I441" s="296"/>
      <c r="J441" s="296"/>
      <c r="K441" s="296"/>
      <c r="L441" s="296"/>
      <c r="M441" s="296"/>
      <c r="N441" s="296"/>
      <c r="O441" s="296"/>
      <c r="P441" s="296"/>
      <c r="Q441" s="296"/>
      <c r="R441" s="296"/>
      <c r="S441" s="296"/>
      <c r="T441" s="296"/>
      <c r="U441" s="296"/>
      <c r="V441" s="296"/>
      <c r="W441" s="296"/>
      <c r="X441" s="296"/>
      <c r="Y441" s="296"/>
      <c r="Z441" s="296"/>
      <c r="AA441" s="296"/>
      <c r="AB441" s="296"/>
      <c r="AC441" s="296"/>
      <c r="AD441" s="296"/>
      <c r="AE441" s="296"/>
      <c r="AF441" s="296"/>
      <c r="AG441" s="296"/>
      <c r="AH441" s="296"/>
      <c r="AI441" s="296"/>
      <c r="AJ441" s="296"/>
      <c r="AK441" s="296"/>
      <c r="AL441" s="296"/>
      <c r="AM441" s="296"/>
      <c r="AN441" s="296"/>
      <c r="AO441" s="296"/>
      <c r="AP441" s="296"/>
      <c r="AQ441" s="296"/>
      <c r="AR441" s="296"/>
      <c r="AS441" s="296"/>
      <c r="AT441" s="296"/>
      <c r="AU441" s="296"/>
      <c r="AV441" s="296"/>
      <c r="AW441" s="296"/>
      <c r="AX441" s="296"/>
      <c r="AY441" s="296"/>
      <c r="AZ441" s="296"/>
      <c r="BA441" s="296"/>
      <c r="BB441" s="296"/>
      <c r="BC441" s="499">
        <f t="shared" si="139"/>
        <v>80</v>
      </c>
      <c r="BD441" s="499">
        <f t="shared" si="139"/>
        <v>0</v>
      </c>
      <c r="BE441" s="499">
        <f t="shared" si="139"/>
        <v>80</v>
      </c>
      <c r="BF441" s="296">
        <v>80</v>
      </c>
      <c r="BG441" s="296"/>
      <c r="BH441" s="296">
        <f t="shared" si="140"/>
        <v>80</v>
      </c>
      <c r="BI441" s="723"/>
      <c r="BJ441" s="723"/>
      <c r="BK441" s="723"/>
      <c r="BL441" s="723"/>
      <c r="BM441" s="723"/>
      <c r="BN441" s="723"/>
      <c r="BO441" s="723"/>
      <c r="BP441" s="725"/>
      <c r="BQ441" s="723"/>
      <c r="BR441" s="723"/>
      <c r="BS441" s="723"/>
      <c r="BT441" s="723"/>
      <c r="BU441" s="723"/>
      <c r="BV441" s="723"/>
      <c r="BW441" s="723"/>
      <c r="BX441" s="723"/>
      <c r="BY441" s="725"/>
      <c r="BZ441" s="723"/>
      <c r="CA441" s="723"/>
      <c r="CB441" s="516">
        <v>80000</v>
      </c>
      <c r="CC441" s="297">
        <v>80</v>
      </c>
      <c r="CD441" s="723"/>
    </row>
    <row r="442" spans="1:82" x14ac:dyDescent="0.2">
      <c r="A442" s="703"/>
      <c r="B442" s="292" t="s">
        <v>1429</v>
      </c>
      <c r="C442" s="293" t="s">
        <v>1611</v>
      </c>
      <c r="D442" s="303"/>
      <c r="E442" s="704"/>
      <c r="F442" s="294" t="s">
        <v>1612</v>
      </c>
      <c r="G442" s="344"/>
      <c r="H442" s="296"/>
      <c r="I442" s="296"/>
      <c r="J442" s="296"/>
      <c r="K442" s="296"/>
      <c r="L442" s="296"/>
      <c r="M442" s="296"/>
      <c r="N442" s="296"/>
      <c r="O442" s="296"/>
      <c r="P442" s="296"/>
      <c r="Q442" s="296"/>
      <c r="R442" s="296"/>
      <c r="S442" s="296"/>
      <c r="T442" s="296"/>
      <c r="U442" s="296"/>
      <c r="V442" s="296"/>
      <c r="W442" s="296"/>
      <c r="X442" s="296"/>
      <c r="Y442" s="296"/>
      <c r="Z442" s="296"/>
      <c r="AA442" s="296"/>
      <c r="AB442" s="296"/>
      <c r="AC442" s="296"/>
      <c r="AD442" s="296"/>
      <c r="AE442" s="296"/>
      <c r="AF442" s="296"/>
      <c r="AG442" s="296"/>
      <c r="AH442" s="296"/>
      <c r="AI442" s="296"/>
      <c r="AJ442" s="296"/>
      <c r="AK442" s="296"/>
      <c r="AL442" s="296"/>
      <c r="AM442" s="296"/>
      <c r="AN442" s="296"/>
      <c r="AO442" s="296"/>
      <c r="AP442" s="296"/>
      <c r="AQ442" s="296"/>
      <c r="AR442" s="296"/>
      <c r="AS442" s="296"/>
      <c r="AT442" s="296"/>
      <c r="AU442" s="296"/>
      <c r="AV442" s="296"/>
      <c r="AW442" s="296"/>
      <c r="AX442" s="296"/>
      <c r="AY442" s="296"/>
      <c r="AZ442" s="296"/>
      <c r="BA442" s="296"/>
      <c r="BB442" s="296"/>
      <c r="BC442" s="499">
        <f t="shared" si="139"/>
        <v>323</v>
      </c>
      <c r="BD442" s="499">
        <f t="shared" si="139"/>
        <v>87</v>
      </c>
      <c r="BE442" s="499">
        <f t="shared" si="139"/>
        <v>410</v>
      </c>
      <c r="BF442" s="296">
        <v>323</v>
      </c>
      <c r="BG442" s="296">
        <v>87</v>
      </c>
      <c r="BH442" s="296">
        <v>410</v>
      </c>
      <c r="BI442" s="723"/>
      <c r="BJ442" s="723"/>
      <c r="BK442" s="723"/>
      <c r="BL442" s="723"/>
      <c r="BM442" s="723"/>
      <c r="BN442" s="723"/>
      <c r="BO442" s="723"/>
      <c r="BP442" s="725"/>
      <c r="BQ442" s="723"/>
      <c r="BR442" s="723"/>
      <c r="BS442" s="723"/>
      <c r="BT442" s="723"/>
      <c r="BU442" s="723"/>
      <c r="BV442" s="723"/>
      <c r="BW442" s="723"/>
      <c r="BX442" s="723"/>
      <c r="BY442" s="725"/>
      <c r="BZ442" s="723"/>
      <c r="CA442" s="723"/>
      <c r="CB442" s="516">
        <v>322515</v>
      </c>
      <c r="CC442" s="297">
        <v>409</v>
      </c>
      <c r="CD442" s="723"/>
    </row>
    <row r="443" spans="1:82" ht="22.5" x14ac:dyDescent="0.2">
      <c r="A443" s="703"/>
      <c r="B443" s="292" t="s">
        <v>1057</v>
      </c>
      <c r="C443" s="329" t="s">
        <v>1058</v>
      </c>
      <c r="D443" s="314" t="s">
        <v>729</v>
      </c>
      <c r="E443" s="702" t="s">
        <v>1059</v>
      </c>
      <c r="F443" s="294" t="s">
        <v>1060</v>
      </c>
      <c r="G443" s="296">
        <v>85525</v>
      </c>
      <c r="H443" s="296">
        <v>23092</v>
      </c>
      <c r="I443" s="296">
        <f>SUM(G443:H443)</f>
        <v>108617</v>
      </c>
      <c r="J443" s="296">
        <f t="shared" ref="J443:L450" si="141">M443-G443</f>
        <v>0</v>
      </c>
      <c r="K443" s="296">
        <f t="shared" si="141"/>
        <v>0</v>
      </c>
      <c r="L443" s="296">
        <f t="shared" si="141"/>
        <v>0</v>
      </c>
      <c r="M443" s="296">
        <v>85525</v>
      </c>
      <c r="N443" s="296">
        <v>23092</v>
      </c>
      <c r="O443" s="296">
        <f>SUM(M443:N443)</f>
        <v>108617</v>
      </c>
      <c r="P443" s="296">
        <f t="shared" ref="P443:R449" si="142">S443-M443</f>
        <v>0</v>
      </c>
      <c r="Q443" s="296">
        <f t="shared" si="142"/>
        <v>0</v>
      </c>
      <c r="R443" s="296">
        <f t="shared" si="142"/>
        <v>0</v>
      </c>
      <c r="S443" s="296">
        <v>85525</v>
      </c>
      <c r="T443" s="296">
        <v>23092</v>
      </c>
      <c r="U443" s="296">
        <f>SUM(S443:T443)</f>
        <v>108617</v>
      </c>
      <c r="V443" s="296"/>
      <c r="W443" s="296"/>
      <c r="X443" s="296"/>
      <c r="Y443" s="296">
        <v>85525</v>
      </c>
      <c r="Z443" s="296">
        <v>23092</v>
      </c>
      <c r="AA443" s="296">
        <v>108617</v>
      </c>
      <c r="AB443" s="296">
        <f t="shared" ref="AB443:AD447" si="143">AE443-S443</f>
        <v>-4072</v>
      </c>
      <c r="AC443" s="296">
        <f t="shared" si="143"/>
        <v>-23092</v>
      </c>
      <c r="AD443" s="296">
        <f t="shared" si="143"/>
        <v>-27164</v>
      </c>
      <c r="AE443" s="296">
        <v>81453</v>
      </c>
      <c r="AF443" s="296"/>
      <c r="AG443" s="296">
        <f>SUM(AE443:AF443)</f>
        <v>81453</v>
      </c>
      <c r="AH443" s="299"/>
      <c r="AI443" s="296"/>
      <c r="AJ443" s="299"/>
      <c r="AK443" s="296"/>
      <c r="AL443" s="296"/>
      <c r="AM443" s="296"/>
      <c r="AN443" s="296"/>
      <c r="AO443" s="296"/>
      <c r="AP443" s="296"/>
      <c r="AQ443" s="296"/>
      <c r="AR443" s="296"/>
      <c r="AS443" s="296"/>
      <c r="AT443" s="296"/>
      <c r="AU443" s="296"/>
      <c r="AV443" s="296"/>
      <c r="AW443" s="296"/>
      <c r="AX443" s="296"/>
      <c r="AY443" s="296"/>
      <c r="AZ443" s="296"/>
      <c r="BA443" s="296"/>
      <c r="BB443" s="296"/>
      <c r="BC443" s="499"/>
      <c r="BD443" s="499"/>
      <c r="BE443" s="499"/>
      <c r="BF443" s="296"/>
      <c r="BG443" s="296"/>
      <c r="BH443" s="296"/>
      <c r="BI443" s="723"/>
      <c r="BJ443" s="723"/>
      <c r="BK443" s="723"/>
      <c r="BL443" s="723"/>
      <c r="BM443" s="723"/>
      <c r="BN443" s="723"/>
      <c r="BO443" s="723"/>
      <c r="BP443" s="725"/>
      <c r="BQ443" s="723"/>
      <c r="BR443" s="723"/>
      <c r="BS443" s="723"/>
      <c r="BT443" s="723"/>
      <c r="BU443" s="723"/>
      <c r="BV443" s="723"/>
      <c r="BW443" s="723"/>
      <c r="BX443" s="723"/>
      <c r="BY443" s="725"/>
      <c r="BZ443" s="723"/>
      <c r="CA443" s="723"/>
      <c r="CB443" s="516">
        <v>81452668</v>
      </c>
      <c r="CC443" s="297">
        <v>81453</v>
      </c>
      <c r="CD443" s="723"/>
    </row>
    <row r="444" spans="1:82" ht="22.5" x14ac:dyDescent="0.2">
      <c r="A444" s="703"/>
      <c r="B444" s="292" t="s">
        <v>1057</v>
      </c>
      <c r="C444" s="329" t="s">
        <v>1061</v>
      </c>
      <c r="D444" s="314"/>
      <c r="E444" s="703"/>
      <c r="F444" s="294" t="s">
        <v>1062</v>
      </c>
      <c r="G444" s="296">
        <v>1900</v>
      </c>
      <c r="H444" s="296">
        <v>513</v>
      </c>
      <c r="I444" s="296">
        <f>SUM(G444:H444)</f>
        <v>2413</v>
      </c>
      <c r="J444" s="296">
        <f t="shared" si="141"/>
        <v>0</v>
      </c>
      <c r="K444" s="296">
        <f t="shared" si="141"/>
        <v>0</v>
      </c>
      <c r="L444" s="296">
        <f t="shared" si="141"/>
        <v>0</v>
      </c>
      <c r="M444" s="296">
        <v>1900</v>
      </c>
      <c r="N444" s="296">
        <v>513</v>
      </c>
      <c r="O444" s="296">
        <f>SUM(M444:N444)</f>
        <v>2413</v>
      </c>
      <c r="P444" s="296">
        <f t="shared" si="142"/>
        <v>0</v>
      </c>
      <c r="Q444" s="296">
        <f t="shared" si="142"/>
        <v>0</v>
      </c>
      <c r="R444" s="296">
        <f t="shared" si="142"/>
        <v>0</v>
      </c>
      <c r="S444" s="296">
        <v>1900</v>
      </c>
      <c r="T444" s="296">
        <v>513</v>
      </c>
      <c r="U444" s="296">
        <f>SUM(S444:T444)</f>
        <v>2413</v>
      </c>
      <c r="V444" s="296"/>
      <c r="W444" s="296"/>
      <c r="X444" s="296"/>
      <c r="Y444" s="296">
        <v>1900</v>
      </c>
      <c r="Z444" s="296">
        <v>513</v>
      </c>
      <c r="AA444" s="296">
        <v>2413</v>
      </c>
      <c r="AB444" s="296">
        <f t="shared" si="143"/>
        <v>0</v>
      </c>
      <c r="AC444" s="296">
        <f t="shared" si="143"/>
        <v>0</v>
      </c>
      <c r="AD444" s="296">
        <f t="shared" si="143"/>
        <v>0</v>
      </c>
      <c r="AE444" s="296">
        <v>1900</v>
      </c>
      <c r="AF444" s="296">
        <v>513</v>
      </c>
      <c r="AG444" s="296">
        <v>2413</v>
      </c>
      <c r="AH444" s="299"/>
      <c r="AI444" s="296"/>
      <c r="AJ444" s="299"/>
      <c r="AK444" s="296"/>
      <c r="AL444" s="296"/>
      <c r="AM444" s="296"/>
      <c r="AN444" s="296"/>
      <c r="AO444" s="296"/>
      <c r="AP444" s="296"/>
      <c r="AQ444" s="296"/>
      <c r="AR444" s="296"/>
      <c r="AS444" s="296"/>
      <c r="AT444" s="296"/>
      <c r="AU444" s="296"/>
      <c r="AV444" s="296"/>
      <c r="AW444" s="296"/>
      <c r="AX444" s="296"/>
      <c r="AY444" s="296"/>
      <c r="AZ444" s="296"/>
      <c r="BA444" s="296"/>
      <c r="BB444" s="296"/>
      <c r="BC444" s="499"/>
      <c r="BD444" s="499"/>
      <c r="BE444" s="499"/>
      <c r="BF444" s="296"/>
      <c r="BG444" s="296"/>
      <c r="BH444" s="296"/>
      <c r="BI444" s="723"/>
      <c r="BJ444" s="723"/>
      <c r="BK444" s="723"/>
      <c r="BL444" s="723"/>
      <c r="BM444" s="723"/>
      <c r="BN444" s="723"/>
      <c r="BO444" s="723"/>
      <c r="BP444" s="725"/>
      <c r="BQ444" s="723"/>
      <c r="BR444" s="723"/>
      <c r="BS444" s="723"/>
      <c r="BT444" s="723"/>
      <c r="BU444" s="723"/>
      <c r="BV444" s="723"/>
      <c r="BW444" s="723"/>
      <c r="BX444" s="723"/>
      <c r="BY444" s="725"/>
      <c r="BZ444" s="723"/>
      <c r="CA444" s="723"/>
      <c r="CB444" s="516">
        <v>1900000</v>
      </c>
      <c r="CC444" s="297">
        <v>2413</v>
      </c>
      <c r="CD444" s="723"/>
    </row>
    <row r="445" spans="1:82" x14ac:dyDescent="0.2">
      <c r="A445" s="703"/>
      <c r="B445" s="292" t="s">
        <v>1057</v>
      </c>
      <c r="C445" s="329" t="s">
        <v>1143</v>
      </c>
      <c r="D445" s="314"/>
      <c r="E445" s="703"/>
      <c r="F445" s="294" t="s">
        <v>1063</v>
      </c>
      <c r="G445" s="296">
        <v>7063</v>
      </c>
      <c r="H445" s="296">
        <v>1907</v>
      </c>
      <c r="I445" s="296">
        <f>SUM(G445:H445)</f>
        <v>8970</v>
      </c>
      <c r="J445" s="296">
        <f t="shared" si="141"/>
        <v>0</v>
      </c>
      <c r="K445" s="296">
        <f t="shared" si="141"/>
        <v>0</v>
      </c>
      <c r="L445" s="296">
        <f t="shared" si="141"/>
        <v>0</v>
      </c>
      <c r="M445" s="296">
        <v>7063</v>
      </c>
      <c r="N445" s="296">
        <v>1907</v>
      </c>
      <c r="O445" s="296">
        <f>SUM(M445:N445)</f>
        <v>8970</v>
      </c>
      <c r="P445" s="296">
        <f t="shared" si="142"/>
        <v>-9</v>
      </c>
      <c r="Q445" s="296">
        <f t="shared" si="142"/>
        <v>0</v>
      </c>
      <c r="R445" s="296">
        <f t="shared" si="142"/>
        <v>-9</v>
      </c>
      <c r="S445" s="296">
        <f>M445-SUM(S446)</f>
        <v>7054</v>
      </c>
      <c r="T445" s="296">
        <f>N445-SUM(T446)</f>
        <v>1907</v>
      </c>
      <c r="U445" s="296">
        <f>O445-SUM(U446)</f>
        <v>8961</v>
      </c>
      <c r="V445" s="296"/>
      <c r="W445" s="296"/>
      <c r="X445" s="296"/>
      <c r="Y445" s="296">
        <v>7054</v>
      </c>
      <c r="Z445" s="296">
        <v>1907</v>
      </c>
      <c r="AA445" s="296">
        <v>8961</v>
      </c>
      <c r="AB445" s="296">
        <f t="shared" si="143"/>
        <v>-7054</v>
      </c>
      <c r="AC445" s="296">
        <f t="shared" si="143"/>
        <v>-1907</v>
      </c>
      <c r="AD445" s="296">
        <f t="shared" si="143"/>
        <v>-8961</v>
      </c>
      <c r="AE445" s="296">
        <v>0</v>
      </c>
      <c r="AF445" s="296">
        <v>0</v>
      </c>
      <c r="AG445" s="296">
        <f>SUM(AE445:AF445)</f>
        <v>0</v>
      </c>
      <c r="AH445" s="299"/>
      <c r="AI445" s="296"/>
      <c r="AJ445" s="299"/>
      <c r="AK445" s="296"/>
      <c r="AL445" s="296"/>
      <c r="AM445" s="296"/>
      <c r="AN445" s="296"/>
      <c r="AO445" s="296"/>
      <c r="AP445" s="296"/>
      <c r="AQ445" s="296"/>
      <c r="AR445" s="296"/>
      <c r="AS445" s="296"/>
      <c r="AT445" s="296"/>
      <c r="AU445" s="296"/>
      <c r="AV445" s="296"/>
      <c r="AW445" s="296"/>
      <c r="AX445" s="296"/>
      <c r="AY445" s="296"/>
      <c r="AZ445" s="296"/>
      <c r="BA445" s="296"/>
      <c r="BB445" s="296"/>
      <c r="BC445" s="499"/>
      <c r="BD445" s="499"/>
      <c r="BE445" s="499"/>
      <c r="BF445" s="296"/>
      <c r="BG445" s="296"/>
      <c r="BH445" s="296"/>
      <c r="BI445" s="723"/>
      <c r="BJ445" s="723"/>
      <c r="BK445" s="723"/>
      <c r="BL445" s="723"/>
      <c r="BM445" s="723"/>
      <c r="BN445" s="723"/>
      <c r="BO445" s="723"/>
      <c r="BP445" s="725"/>
      <c r="BQ445" s="723"/>
      <c r="BR445" s="723"/>
      <c r="BS445" s="723"/>
      <c r="BT445" s="723"/>
      <c r="BU445" s="723"/>
      <c r="BV445" s="723"/>
      <c r="BW445" s="723"/>
      <c r="BX445" s="723"/>
      <c r="BY445" s="725"/>
      <c r="BZ445" s="723"/>
      <c r="CA445" s="723"/>
      <c r="CB445" s="516">
        <v>0</v>
      </c>
      <c r="CC445" s="297">
        <v>0</v>
      </c>
      <c r="CD445" s="723"/>
    </row>
    <row r="446" spans="1:82" ht="33.75" x14ac:dyDescent="0.2">
      <c r="A446" s="703"/>
      <c r="B446" s="292"/>
      <c r="C446" s="329" t="s">
        <v>1281</v>
      </c>
      <c r="D446" s="314" t="s">
        <v>807</v>
      </c>
      <c r="E446" s="703"/>
      <c r="F446" s="294" t="s">
        <v>1271</v>
      </c>
      <c r="G446" s="296"/>
      <c r="H446" s="296"/>
      <c r="I446" s="296"/>
      <c r="J446" s="296"/>
      <c r="K446" s="296"/>
      <c r="L446" s="296"/>
      <c r="M446" s="296"/>
      <c r="N446" s="296"/>
      <c r="O446" s="296"/>
      <c r="P446" s="296">
        <f t="shared" si="142"/>
        <v>9</v>
      </c>
      <c r="Q446" s="296">
        <f t="shared" si="142"/>
        <v>0</v>
      </c>
      <c r="R446" s="296">
        <f t="shared" si="142"/>
        <v>9</v>
      </c>
      <c r="S446" s="296">
        <v>9</v>
      </c>
      <c r="T446" s="296">
        <v>0</v>
      </c>
      <c r="U446" s="296">
        <f>SUM(S446:T446)</f>
        <v>9</v>
      </c>
      <c r="V446" s="296"/>
      <c r="W446" s="296"/>
      <c r="X446" s="296"/>
      <c r="Y446" s="296">
        <v>9</v>
      </c>
      <c r="Z446" s="296">
        <v>0</v>
      </c>
      <c r="AA446" s="296">
        <v>9</v>
      </c>
      <c r="AB446" s="296">
        <f t="shared" si="143"/>
        <v>0</v>
      </c>
      <c r="AC446" s="296">
        <f t="shared" si="143"/>
        <v>0</v>
      </c>
      <c r="AD446" s="296">
        <f t="shared" si="143"/>
        <v>0</v>
      </c>
      <c r="AE446" s="296">
        <v>9</v>
      </c>
      <c r="AF446" s="296">
        <v>0</v>
      </c>
      <c r="AG446" s="296">
        <f>SUM(AE446:AF446)</f>
        <v>9</v>
      </c>
      <c r="AH446" s="299"/>
      <c r="AI446" s="296"/>
      <c r="AJ446" s="299"/>
      <c r="AK446" s="296"/>
      <c r="AL446" s="296"/>
      <c r="AM446" s="296"/>
      <c r="AN446" s="296"/>
      <c r="AO446" s="296"/>
      <c r="AP446" s="296"/>
      <c r="AQ446" s="296"/>
      <c r="AR446" s="296"/>
      <c r="AS446" s="296"/>
      <c r="AT446" s="296"/>
      <c r="AU446" s="296"/>
      <c r="AV446" s="296"/>
      <c r="AW446" s="296"/>
      <c r="AX446" s="296"/>
      <c r="AY446" s="296"/>
      <c r="AZ446" s="296"/>
      <c r="BA446" s="296"/>
      <c r="BB446" s="296"/>
      <c r="BC446" s="499"/>
      <c r="BD446" s="499"/>
      <c r="BE446" s="499"/>
      <c r="BF446" s="296"/>
      <c r="BG446" s="296"/>
      <c r="BH446" s="296"/>
      <c r="BI446" s="723"/>
      <c r="BJ446" s="724"/>
      <c r="BK446" s="723"/>
      <c r="BL446" s="724"/>
      <c r="BM446" s="723"/>
      <c r="BN446" s="723"/>
      <c r="BO446" s="723"/>
      <c r="BP446" s="509"/>
      <c r="BQ446" s="723"/>
      <c r="BR446" s="723"/>
      <c r="BS446" s="724"/>
      <c r="BT446" s="723"/>
      <c r="BU446" s="723"/>
      <c r="BV446" s="723"/>
      <c r="BW446" s="723"/>
      <c r="BX446" s="723"/>
      <c r="BY446" s="516"/>
      <c r="BZ446" s="723"/>
      <c r="CA446" s="723"/>
      <c r="CB446" s="516">
        <v>8700</v>
      </c>
      <c r="CC446" s="297">
        <v>9</v>
      </c>
      <c r="CD446" s="723"/>
    </row>
    <row r="447" spans="1:82" ht="22.5" x14ac:dyDescent="0.2">
      <c r="A447" s="703"/>
      <c r="B447" s="292"/>
      <c r="C447" s="293" t="s">
        <v>1613</v>
      </c>
      <c r="D447" s="314"/>
      <c r="E447" s="704"/>
      <c r="F447" s="294" t="s">
        <v>1614</v>
      </c>
      <c r="G447" s="296"/>
      <c r="H447" s="296"/>
      <c r="I447" s="296"/>
      <c r="J447" s="296"/>
      <c r="K447" s="296"/>
      <c r="L447" s="296"/>
      <c r="M447" s="296"/>
      <c r="N447" s="296"/>
      <c r="O447" s="296"/>
      <c r="P447" s="296"/>
      <c r="Q447" s="296"/>
      <c r="R447" s="296"/>
      <c r="S447" s="296"/>
      <c r="T447" s="296"/>
      <c r="U447" s="296"/>
      <c r="V447" s="296"/>
      <c r="W447" s="296"/>
      <c r="X447" s="296"/>
      <c r="Y447" s="296"/>
      <c r="Z447" s="296"/>
      <c r="AA447" s="296"/>
      <c r="AB447" s="296">
        <f t="shared" si="143"/>
        <v>80</v>
      </c>
      <c r="AC447" s="296">
        <f t="shared" si="143"/>
        <v>0</v>
      </c>
      <c r="AD447" s="296">
        <f t="shared" si="143"/>
        <v>80</v>
      </c>
      <c r="AE447" s="296">
        <v>80</v>
      </c>
      <c r="AF447" s="296">
        <v>0</v>
      </c>
      <c r="AG447" s="296">
        <f>SUM(AE447:AF447)</f>
        <v>80</v>
      </c>
      <c r="AH447" s="299"/>
      <c r="AI447" s="296"/>
      <c r="AJ447" s="299"/>
      <c r="AK447" s="296"/>
      <c r="AL447" s="296"/>
      <c r="AM447" s="296"/>
      <c r="AN447" s="296"/>
      <c r="AO447" s="296"/>
      <c r="AP447" s="296"/>
      <c r="AQ447" s="296"/>
      <c r="AR447" s="296"/>
      <c r="AS447" s="296"/>
      <c r="AT447" s="296"/>
      <c r="AU447" s="296"/>
      <c r="AV447" s="296"/>
      <c r="AW447" s="296"/>
      <c r="AX447" s="296"/>
      <c r="AY447" s="296"/>
      <c r="AZ447" s="296"/>
      <c r="BA447" s="296"/>
      <c r="BB447" s="296"/>
      <c r="BC447" s="499"/>
      <c r="BD447" s="499"/>
      <c r="BE447" s="499"/>
      <c r="BF447" s="296"/>
      <c r="BG447" s="296"/>
      <c r="BH447" s="296"/>
      <c r="BI447" s="723"/>
      <c r="BJ447" s="510"/>
      <c r="BK447" s="723"/>
      <c r="BL447" s="510"/>
      <c r="BM447" s="723"/>
      <c r="BN447" s="723"/>
      <c r="BO447" s="723"/>
      <c r="BP447" s="509"/>
      <c r="BQ447" s="723"/>
      <c r="BR447" s="723"/>
      <c r="BS447" s="510"/>
      <c r="BT447" s="723"/>
      <c r="BU447" s="723"/>
      <c r="BV447" s="723"/>
      <c r="BW447" s="723"/>
      <c r="BX447" s="723"/>
      <c r="BY447" s="516"/>
      <c r="BZ447" s="723"/>
      <c r="CA447" s="723"/>
      <c r="CB447" s="516">
        <v>80000</v>
      </c>
      <c r="CC447" s="297">
        <v>80</v>
      </c>
      <c r="CD447" s="723"/>
    </row>
    <row r="448" spans="1:82" ht="22.5" x14ac:dyDescent="0.2">
      <c r="A448" s="703"/>
      <c r="B448" s="292"/>
      <c r="C448" s="293" t="s">
        <v>1156</v>
      </c>
      <c r="D448" s="303"/>
      <c r="E448" s="514" t="s">
        <v>1615</v>
      </c>
      <c r="F448" s="294" t="s">
        <v>1280</v>
      </c>
      <c r="G448" s="344"/>
      <c r="H448" s="296"/>
      <c r="I448" s="296"/>
      <c r="J448" s="296"/>
      <c r="K448" s="296"/>
      <c r="L448" s="296"/>
      <c r="M448" s="296"/>
      <c r="N448" s="296"/>
      <c r="O448" s="296"/>
      <c r="P448" s="296"/>
      <c r="Q448" s="296"/>
      <c r="R448" s="296"/>
      <c r="S448" s="296"/>
      <c r="T448" s="296"/>
      <c r="U448" s="296"/>
      <c r="V448" s="296"/>
      <c r="W448" s="296"/>
      <c r="X448" s="296"/>
      <c r="Y448" s="296"/>
      <c r="Z448" s="296"/>
      <c r="AA448" s="296"/>
      <c r="AB448" s="296"/>
      <c r="AC448" s="296"/>
      <c r="AD448" s="296"/>
      <c r="AE448" s="296"/>
      <c r="AF448" s="296"/>
      <c r="AG448" s="296"/>
      <c r="AH448" s="296"/>
      <c r="AI448" s="296"/>
      <c r="AJ448" s="296"/>
      <c r="AK448" s="296"/>
      <c r="AL448" s="296"/>
      <c r="AM448" s="296"/>
      <c r="AN448" s="296"/>
      <c r="AO448" s="296"/>
      <c r="AP448" s="296"/>
      <c r="AQ448" s="296">
        <f>AT448-AN448</f>
        <v>18000</v>
      </c>
      <c r="AR448" s="296">
        <f>AU448-AO448</f>
        <v>4860</v>
      </c>
      <c r="AS448" s="296">
        <f>AV448-AP448</f>
        <v>22860</v>
      </c>
      <c r="AT448" s="296">
        <v>18000</v>
      </c>
      <c r="AU448" s="296">
        <v>4860</v>
      </c>
      <c r="AV448" s="296">
        <f>SUM(AT448:AU448)</f>
        <v>22860</v>
      </c>
      <c r="AW448" s="296"/>
      <c r="AX448" s="296"/>
      <c r="AY448" s="296"/>
      <c r="AZ448" s="296">
        <v>18000</v>
      </c>
      <c r="BA448" s="296">
        <v>4860</v>
      </c>
      <c r="BB448" s="296">
        <v>22860</v>
      </c>
      <c r="BC448" s="499">
        <f>BF448-AT448</f>
        <v>-18000</v>
      </c>
      <c r="BD448" s="499">
        <f>BG448-AU448</f>
        <v>-4860</v>
      </c>
      <c r="BE448" s="499">
        <f>BH448-AV448</f>
        <v>-22860</v>
      </c>
      <c r="BF448" s="296">
        <v>0</v>
      </c>
      <c r="BG448" s="296">
        <v>0</v>
      </c>
      <c r="BH448" s="296">
        <f>SUM(BF448:BG448)</f>
        <v>0</v>
      </c>
      <c r="BI448" s="724"/>
      <c r="BJ448" s="510"/>
      <c r="BK448" s="724"/>
      <c r="BL448" s="510"/>
      <c r="BM448" s="724"/>
      <c r="BN448" s="724"/>
      <c r="BO448" s="724"/>
      <c r="BP448" s="509"/>
      <c r="BQ448" s="724"/>
      <c r="BR448" s="724"/>
      <c r="BS448" s="510"/>
      <c r="BT448" s="724"/>
      <c r="BU448" s="724"/>
      <c r="BV448" s="724"/>
      <c r="BW448" s="724"/>
      <c r="BX448" s="724"/>
      <c r="BY448" s="516"/>
      <c r="BZ448" s="724"/>
      <c r="CA448" s="724"/>
      <c r="CB448" s="516">
        <v>0</v>
      </c>
      <c r="CC448" s="297">
        <v>0</v>
      </c>
      <c r="CD448" s="724"/>
    </row>
    <row r="449" spans="1:82" ht="38.25" customHeight="1" x14ac:dyDescent="0.2">
      <c r="A449" s="726" t="s">
        <v>490</v>
      </c>
      <c r="B449" s="292"/>
      <c r="C449" s="329" t="s">
        <v>1143</v>
      </c>
      <c r="D449" s="314"/>
      <c r="E449" s="702" t="s">
        <v>1064</v>
      </c>
      <c r="F449" s="294" t="s">
        <v>1065</v>
      </c>
      <c r="G449" s="296">
        <v>19685</v>
      </c>
      <c r="H449" s="296">
        <v>5315</v>
      </c>
      <c r="I449" s="296">
        <f>SUM(G449:H449)</f>
        <v>25000</v>
      </c>
      <c r="J449" s="296">
        <f t="shared" si="141"/>
        <v>0</v>
      </c>
      <c r="K449" s="296">
        <f t="shared" si="141"/>
        <v>0</v>
      </c>
      <c r="L449" s="296">
        <f t="shared" si="141"/>
        <v>0</v>
      </c>
      <c r="M449" s="296">
        <v>19685</v>
      </c>
      <c r="N449" s="296">
        <v>5315</v>
      </c>
      <c r="O449" s="296">
        <f>SUM(M449:N449)</f>
        <v>25000</v>
      </c>
      <c r="P449" s="296">
        <f t="shared" si="142"/>
        <v>0</v>
      </c>
      <c r="Q449" s="296">
        <f t="shared" si="142"/>
        <v>0</v>
      </c>
      <c r="R449" s="296">
        <f t="shared" si="142"/>
        <v>0</v>
      </c>
      <c r="S449" s="296">
        <v>19685</v>
      </c>
      <c r="T449" s="296">
        <v>5315</v>
      </c>
      <c r="U449" s="296">
        <f>SUM(S449:T449)</f>
        <v>25000</v>
      </c>
      <c r="V449" s="296"/>
      <c r="W449" s="296"/>
      <c r="X449" s="296"/>
      <c r="Y449" s="296">
        <v>19685</v>
      </c>
      <c r="Z449" s="296">
        <v>5315</v>
      </c>
      <c r="AA449" s="296">
        <v>25000</v>
      </c>
      <c r="AB449" s="296">
        <f t="shared" ref="AB449:AD451" si="144">AE449-S449</f>
        <v>0</v>
      </c>
      <c r="AC449" s="296">
        <f t="shared" si="144"/>
        <v>0</v>
      </c>
      <c r="AD449" s="296">
        <f t="shared" si="144"/>
        <v>0</v>
      </c>
      <c r="AE449" s="296">
        <v>19685</v>
      </c>
      <c r="AF449" s="296">
        <v>5315</v>
      </c>
      <c r="AG449" s="296">
        <v>25000</v>
      </c>
      <c r="AH449" s="299"/>
      <c r="AI449" s="296"/>
      <c r="AJ449" s="299"/>
      <c r="AK449" s="296"/>
      <c r="AL449" s="296"/>
      <c r="AM449" s="296"/>
      <c r="AN449" s="296"/>
      <c r="AO449" s="296"/>
      <c r="AP449" s="296"/>
      <c r="AQ449" s="296"/>
      <c r="AR449" s="296"/>
      <c r="AS449" s="296"/>
      <c r="AT449" s="296"/>
      <c r="AU449" s="296"/>
      <c r="AV449" s="296"/>
      <c r="AW449" s="296"/>
      <c r="AX449" s="296"/>
      <c r="AY449" s="296"/>
      <c r="AZ449" s="296"/>
      <c r="BA449" s="296"/>
      <c r="BB449" s="296"/>
      <c r="BC449" s="499"/>
      <c r="BD449" s="499"/>
      <c r="BE449" s="499"/>
      <c r="BF449" s="296"/>
      <c r="BG449" s="296"/>
      <c r="BH449" s="296"/>
      <c r="BI449" s="722">
        <f>SUM(I449:I451)</f>
        <v>25000</v>
      </c>
      <c r="BJ449" s="722">
        <f>SUM(L449:L451)</f>
        <v>-20000</v>
      </c>
      <c r="BK449" s="722">
        <f>SUM(O449:O451)</f>
        <v>5000</v>
      </c>
      <c r="BL449" s="722">
        <f>SUM(R449:R451)</f>
        <v>-5000</v>
      </c>
      <c r="BM449" s="722">
        <f>SUM(U449:U451)</f>
        <v>0</v>
      </c>
      <c r="BN449" s="722">
        <f>SUM(AD449:AD451)</f>
        <v>0</v>
      </c>
      <c r="BO449" s="722">
        <f>SUM(AA449:AA451)</f>
        <v>0</v>
      </c>
      <c r="BP449" s="722"/>
      <c r="BQ449" s="722">
        <f>SUM(AG449:AG451)</f>
        <v>0</v>
      </c>
      <c r="BR449" s="722">
        <f>SUM(AJ449:AJ451)</f>
        <v>0</v>
      </c>
      <c r="BS449" s="722">
        <f>SUM(AM449:AM451)</f>
        <v>0</v>
      </c>
      <c r="BT449" s="722">
        <f>SUM(AP449:AR451)</f>
        <v>0</v>
      </c>
      <c r="BU449" s="722">
        <f>SUM(AS449:AS451)</f>
        <v>0</v>
      </c>
      <c r="BV449" s="722">
        <f>SUM(AV449:AV451)</f>
        <v>0</v>
      </c>
      <c r="BW449" s="722">
        <f>SUM(BE449:BE451)</f>
        <v>0</v>
      </c>
      <c r="BX449" s="722">
        <f>SUM(BB449:BB451)</f>
        <v>0</v>
      </c>
      <c r="BY449" s="516"/>
      <c r="BZ449" s="722">
        <f>SUM(BH449:BH451)</f>
        <v>0</v>
      </c>
      <c r="CA449" s="722">
        <f>SUM(BQ449,BZ449)</f>
        <v>0</v>
      </c>
      <c r="CB449" s="516">
        <v>0</v>
      </c>
      <c r="CC449" s="297">
        <v>0</v>
      </c>
      <c r="CD449" s="722">
        <f>SUM(CC449:CC451)</f>
        <v>0</v>
      </c>
    </row>
    <row r="450" spans="1:82" ht="37.5" customHeight="1" x14ac:dyDescent="0.2">
      <c r="A450" s="727"/>
      <c r="B450" s="322"/>
      <c r="C450" s="329"/>
      <c r="D450" s="314"/>
      <c r="E450" s="703"/>
      <c r="F450" s="294" t="s">
        <v>1039</v>
      </c>
      <c r="G450" s="296"/>
      <c r="H450" s="296"/>
      <c r="I450" s="296"/>
      <c r="J450" s="296">
        <f t="shared" si="141"/>
        <v>-15748</v>
      </c>
      <c r="K450" s="296">
        <f t="shared" si="141"/>
        <v>-4252</v>
      </c>
      <c r="L450" s="296">
        <f t="shared" si="141"/>
        <v>-20000</v>
      </c>
      <c r="M450" s="296">
        <v>-15748</v>
      </c>
      <c r="N450" s="296">
        <v>-4252</v>
      </c>
      <c r="O450" s="296">
        <v>-20000</v>
      </c>
      <c r="P450" s="296">
        <v>0</v>
      </c>
      <c r="Q450" s="296">
        <v>0</v>
      </c>
      <c r="R450" s="296">
        <v>0</v>
      </c>
      <c r="S450" s="296">
        <v>-15748</v>
      </c>
      <c r="T450" s="296">
        <v>-4252</v>
      </c>
      <c r="U450" s="296">
        <v>-20000</v>
      </c>
      <c r="V450" s="296"/>
      <c r="W450" s="296"/>
      <c r="X450" s="296"/>
      <c r="Y450" s="296">
        <v>-15748</v>
      </c>
      <c r="Z450" s="296">
        <v>-4252</v>
      </c>
      <c r="AA450" s="296">
        <v>-20000</v>
      </c>
      <c r="AB450" s="296">
        <f t="shared" si="144"/>
        <v>0</v>
      </c>
      <c r="AC450" s="296">
        <f t="shared" si="144"/>
        <v>0</v>
      </c>
      <c r="AD450" s="296">
        <f t="shared" si="144"/>
        <v>0</v>
      </c>
      <c r="AE450" s="296">
        <v>-15748</v>
      </c>
      <c r="AF450" s="296">
        <v>-4252</v>
      </c>
      <c r="AG450" s="296">
        <v>-20000</v>
      </c>
      <c r="AH450" s="299"/>
      <c r="AI450" s="296"/>
      <c r="AJ450" s="299"/>
      <c r="AK450" s="296"/>
      <c r="AL450" s="296"/>
      <c r="AM450" s="296"/>
      <c r="AN450" s="296"/>
      <c r="AO450" s="296"/>
      <c r="AP450" s="296"/>
      <c r="AQ450" s="296"/>
      <c r="AR450" s="296"/>
      <c r="AS450" s="296"/>
      <c r="AT450" s="296"/>
      <c r="AU450" s="296"/>
      <c r="AV450" s="296"/>
      <c r="AW450" s="296"/>
      <c r="AX450" s="296"/>
      <c r="AY450" s="296"/>
      <c r="AZ450" s="296"/>
      <c r="BA450" s="296"/>
      <c r="BB450" s="296"/>
      <c r="BC450" s="499"/>
      <c r="BD450" s="499"/>
      <c r="BE450" s="499"/>
      <c r="BF450" s="296"/>
      <c r="BG450" s="296"/>
      <c r="BH450" s="296"/>
      <c r="BI450" s="723"/>
      <c r="BJ450" s="723"/>
      <c r="BK450" s="723"/>
      <c r="BL450" s="723"/>
      <c r="BM450" s="723"/>
      <c r="BN450" s="723"/>
      <c r="BO450" s="723"/>
      <c r="BP450" s="724"/>
      <c r="BQ450" s="723"/>
      <c r="BR450" s="723"/>
      <c r="BS450" s="723"/>
      <c r="BT450" s="723"/>
      <c r="BU450" s="723"/>
      <c r="BV450" s="723"/>
      <c r="BW450" s="723"/>
      <c r="BX450" s="723"/>
      <c r="BY450" s="516"/>
      <c r="BZ450" s="723"/>
      <c r="CA450" s="723"/>
      <c r="CB450" s="516">
        <v>0</v>
      </c>
      <c r="CC450" s="297">
        <v>0</v>
      </c>
      <c r="CD450" s="723"/>
    </row>
    <row r="451" spans="1:82" ht="37.5" customHeight="1" x14ac:dyDescent="0.2">
      <c r="A451" s="728"/>
      <c r="B451" s="292"/>
      <c r="C451" s="329"/>
      <c r="D451" s="314"/>
      <c r="E451" s="704"/>
      <c r="F451" s="294" t="s">
        <v>1282</v>
      </c>
      <c r="G451" s="296"/>
      <c r="H451" s="296"/>
      <c r="I451" s="296"/>
      <c r="J451" s="296"/>
      <c r="K451" s="296"/>
      <c r="L451" s="296"/>
      <c r="M451" s="296"/>
      <c r="N451" s="296"/>
      <c r="O451" s="296"/>
      <c r="P451" s="296">
        <f>S451-M451</f>
        <v>-3937</v>
      </c>
      <c r="Q451" s="296">
        <f>T451-N451</f>
        <v>-1063</v>
      </c>
      <c r="R451" s="296">
        <f>U451-O451</f>
        <v>-5000</v>
      </c>
      <c r="S451" s="296">
        <v>-3937</v>
      </c>
      <c r="T451" s="296">
        <v>-1063</v>
      </c>
      <c r="U451" s="296">
        <f>SUM(S451:T451)</f>
        <v>-5000</v>
      </c>
      <c r="V451" s="296"/>
      <c r="W451" s="296"/>
      <c r="X451" s="296"/>
      <c r="Y451" s="296">
        <v>-3937</v>
      </c>
      <c r="Z451" s="296">
        <v>-1063</v>
      </c>
      <c r="AA451" s="296">
        <v>-5000</v>
      </c>
      <c r="AB451" s="296">
        <f t="shared" si="144"/>
        <v>0</v>
      </c>
      <c r="AC451" s="296">
        <f t="shared" si="144"/>
        <v>0</v>
      </c>
      <c r="AD451" s="296">
        <f t="shared" si="144"/>
        <v>0</v>
      </c>
      <c r="AE451" s="296">
        <v>-3937</v>
      </c>
      <c r="AF451" s="296">
        <v>-1063</v>
      </c>
      <c r="AG451" s="296">
        <v>-5000</v>
      </c>
      <c r="AH451" s="299"/>
      <c r="AI451" s="296"/>
      <c r="AJ451" s="299"/>
      <c r="AK451" s="296"/>
      <c r="AL451" s="296"/>
      <c r="AM451" s="296"/>
      <c r="AN451" s="296"/>
      <c r="AO451" s="296"/>
      <c r="AP451" s="296"/>
      <c r="AQ451" s="296"/>
      <c r="AR451" s="296"/>
      <c r="AS451" s="296"/>
      <c r="AT451" s="296"/>
      <c r="AU451" s="296"/>
      <c r="AV451" s="296"/>
      <c r="AW451" s="296"/>
      <c r="AX451" s="296"/>
      <c r="AY451" s="296"/>
      <c r="AZ451" s="296"/>
      <c r="BA451" s="296"/>
      <c r="BB451" s="296"/>
      <c r="BC451" s="499"/>
      <c r="BD451" s="499"/>
      <c r="BE451" s="499"/>
      <c r="BF451" s="296"/>
      <c r="BG451" s="296"/>
      <c r="BH451" s="296"/>
      <c r="BI451" s="724"/>
      <c r="BJ451" s="724"/>
      <c r="BK451" s="724"/>
      <c r="BL451" s="724"/>
      <c r="BM451" s="724"/>
      <c r="BN451" s="724"/>
      <c r="BO451" s="724"/>
      <c r="BP451" s="511"/>
      <c r="BQ451" s="724"/>
      <c r="BR451" s="724"/>
      <c r="BS451" s="724"/>
      <c r="BT451" s="724"/>
      <c r="BU451" s="724"/>
      <c r="BV451" s="724"/>
      <c r="BW451" s="724"/>
      <c r="BX451" s="724"/>
      <c r="BY451" s="516"/>
      <c r="BZ451" s="724"/>
      <c r="CA451" s="724"/>
      <c r="CB451" s="516">
        <v>0</v>
      </c>
      <c r="CC451" s="297">
        <v>0</v>
      </c>
      <c r="CD451" s="724"/>
    </row>
    <row r="452" spans="1:82" ht="45" x14ac:dyDescent="0.2">
      <c r="A452" s="512" t="s">
        <v>426</v>
      </c>
      <c r="B452" s="326" t="s">
        <v>629</v>
      </c>
      <c r="C452" s="329" t="s">
        <v>1066</v>
      </c>
      <c r="D452" s="314"/>
      <c r="E452" s="512" t="s">
        <v>1067</v>
      </c>
      <c r="F452" s="294" t="s">
        <v>1068</v>
      </c>
      <c r="G452" s="296"/>
      <c r="H452" s="296"/>
      <c r="I452" s="296"/>
      <c r="J452" s="296"/>
      <c r="K452" s="296"/>
      <c r="L452" s="296"/>
      <c r="M452" s="296"/>
      <c r="N452" s="296"/>
      <c r="O452" s="296"/>
      <c r="P452" s="296"/>
      <c r="Q452" s="296"/>
      <c r="R452" s="296"/>
      <c r="S452" s="296"/>
      <c r="T452" s="296"/>
      <c r="U452" s="296"/>
      <c r="V452" s="296"/>
      <c r="W452" s="296"/>
      <c r="X452" s="296"/>
      <c r="Y452" s="296"/>
      <c r="Z452" s="296"/>
      <c r="AA452" s="296"/>
      <c r="AB452" s="296"/>
      <c r="AC452" s="296"/>
      <c r="AD452" s="296"/>
      <c r="AE452" s="296"/>
      <c r="AF452" s="296"/>
      <c r="AG452" s="296"/>
      <c r="AH452" s="295">
        <v>1160</v>
      </c>
      <c r="AI452" s="296">
        <v>313</v>
      </c>
      <c r="AJ452" s="299">
        <f>SUM(AH452:AI452)</f>
        <v>1473</v>
      </c>
      <c r="AK452" s="296">
        <f>AN452-AH452</f>
        <v>0</v>
      </c>
      <c r="AL452" s="296">
        <f>AO452-AI452</f>
        <v>0</v>
      </c>
      <c r="AM452" s="296">
        <f>AP452-AJ452</f>
        <v>0</v>
      </c>
      <c r="AN452" s="295">
        <v>1160</v>
      </c>
      <c r="AO452" s="296">
        <v>313</v>
      </c>
      <c r="AP452" s="296">
        <f>SUM(AN452:AO452)</f>
        <v>1473</v>
      </c>
      <c r="AQ452" s="296">
        <f>AT452-AN452</f>
        <v>0</v>
      </c>
      <c r="AR452" s="296">
        <f>AU452-AO452</f>
        <v>0</v>
      </c>
      <c r="AS452" s="296">
        <f>AV452-AP452</f>
        <v>0</v>
      </c>
      <c r="AT452" s="295">
        <v>1160</v>
      </c>
      <c r="AU452" s="296">
        <v>313</v>
      </c>
      <c r="AV452" s="296">
        <f>SUM(AT452:AU452)</f>
        <v>1473</v>
      </c>
      <c r="AW452" s="296"/>
      <c r="AX452" s="296"/>
      <c r="AY452" s="296"/>
      <c r="AZ452" s="295">
        <v>1160</v>
      </c>
      <c r="BA452" s="296">
        <v>313</v>
      </c>
      <c r="BB452" s="296">
        <v>1473</v>
      </c>
      <c r="BC452" s="499">
        <f>BF452-AT452</f>
        <v>0</v>
      </c>
      <c r="BD452" s="499">
        <f>BG452-AU452</f>
        <v>0</v>
      </c>
      <c r="BE452" s="499">
        <f>BH452-AV452</f>
        <v>0</v>
      </c>
      <c r="BF452" s="295">
        <v>1160</v>
      </c>
      <c r="BG452" s="296">
        <v>313</v>
      </c>
      <c r="BH452" s="296">
        <v>1473</v>
      </c>
      <c r="BI452" s="516">
        <f>SUM(I452)</f>
        <v>0</v>
      </c>
      <c r="BJ452" s="516">
        <f>SUM(O452)</f>
        <v>0</v>
      </c>
      <c r="BK452" s="516">
        <f>SUM(O452)</f>
        <v>0</v>
      </c>
      <c r="BL452" s="516">
        <f>SUM(R452)</f>
        <v>0</v>
      </c>
      <c r="BM452" s="516">
        <f>SUM(U452)</f>
        <v>0</v>
      </c>
      <c r="BN452" s="516">
        <f>SUM(AD452)</f>
        <v>0</v>
      </c>
      <c r="BO452" s="516">
        <f>SUM(AA452)</f>
        <v>0</v>
      </c>
      <c r="BP452" s="516"/>
      <c r="BQ452" s="516">
        <f>SUM(AG452)</f>
        <v>0</v>
      </c>
      <c r="BR452" s="516">
        <f>SUM(AJ452)</f>
        <v>1473</v>
      </c>
      <c r="BS452" s="516">
        <f>SUM(AM452)</f>
        <v>0</v>
      </c>
      <c r="BT452" s="516">
        <f>SUM(AP452)</f>
        <v>1473</v>
      </c>
      <c r="BU452" s="516">
        <f>SUM(AS452)</f>
        <v>0</v>
      </c>
      <c r="BV452" s="516">
        <f>SUM(AV452)</f>
        <v>1473</v>
      </c>
      <c r="BW452" s="516">
        <f>SUM(BE452)</f>
        <v>0</v>
      </c>
      <c r="BX452" s="516">
        <f>SUM(BB452)</f>
        <v>1473</v>
      </c>
      <c r="BY452" s="516"/>
      <c r="BZ452" s="516">
        <f>SUM(BH452)</f>
        <v>1473</v>
      </c>
      <c r="CA452" s="516">
        <f>SUM(BQ452,BZ452)</f>
        <v>1473</v>
      </c>
      <c r="CB452" s="516">
        <v>1160000</v>
      </c>
      <c r="CC452" s="297">
        <v>1473</v>
      </c>
      <c r="CD452" s="516">
        <f>SUM(CC452)</f>
        <v>1473</v>
      </c>
    </row>
    <row r="453" spans="1:82" ht="22.5" x14ac:dyDescent="0.2">
      <c r="A453" s="729"/>
      <c r="B453" s="729"/>
      <c r="C453" s="729"/>
      <c r="D453" s="729"/>
      <c r="E453" s="358"/>
      <c r="F453" s="325" t="s">
        <v>427</v>
      </c>
      <c r="G453" s="516">
        <f>SUM(G4:G452)</f>
        <v>1500219</v>
      </c>
      <c r="H453" s="516">
        <f t="shared" ref="H453:BS453" si="145">SUM(H4:H452)</f>
        <v>241979</v>
      </c>
      <c r="I453" s="516">
        <f t="shared" si="145"/>
        <v>1742198</v>
      </c>
      <c r="J453" s="516">
        <f t="shared" si="145"/>
        <v>-168774</v>
      </c>
      <c r="K453" s="516">
        <f t="shared" si="145"/>
        <v>-3177</v>
      </c>
      <c r="L453" s="516">
        <f t="shared" si="145"/>
        <v>-205950</v>
      </c>
      <c r="M453" s="516">
        <f t="shared" si="145"/>
        <v>1331444</v>
      </c>
      <c r="N453" s="516">
        <f t="shared" si="145"/>
        <v>238804</v>
      </c>
      <c r="O453" s="516">
        <f t="shared" si="145"/>
        <v>1536248</v>
      </c>
      <c r="P453" s="516">
        <f t="shared" si="145"/>
        <v>849339</v>
      </c>
      <c r="Q453" s="516">
        <f t="shared" si="145"/>
        <v>170164</v>
      </c>
      <c r="R453" s="516">
        <f t="shared" si="145"/>
        <v>1112135</v>
      </c>
      <c r="S453" s="516">
        <f t="shared" si="145"/>
        <v>2229303</v>
      </c>
      <c r="T453" s="516">
        <f t="shared" si="145"/>
        <v>421620</v>
      </c>
      <c r="U453" s="516">
        <f t="shared" si="145"/>
        <v>2648383</v>
      </c>
      <c r="V453" s="516">
        <f t="shared" si="145"/>
        <v>0</v>
      </c>
      <c r="W453" s="516">
        <f t="shared" si="145"/>
        <v>0</v>
      </c>
      <c r="X453" s="516">
        <f t="shared" si="145"/>
        <v>0</v>
      </c>
      <c r="Y453" s="516">
        <f t="shared" si="145"/>
        <v>2229303</v>
      </c>
      <c r="Z453" s="516">
        <f t="shared" si="145"/>
        <v>421620</v>
      </c>
      <c r="AA453" s="516">
        <f t="shared" si="145"/>
        <v>2654671</v>
      </c>
      <c r="AB453" s="516">
        <f t="shared" si="145"/>
        <v>-347264</v>
      </c>
      <c r="AC453" s="516">
        <f t="shared" si="145"/>
        <v>-96899</v>
      </c>
      <c r="AD453" s="516">
        <f t="shared" si="145"/>
        <v>-441623</v>
      </c>
      <c r="AE453" s="516">
        <f t="shared" si="145"/>
        <v>1882119</v>
      </c>
      <c r="AF453" s="516">
        <f t="shared" si="145"/>
        <v>324721</v>
      </c>
      <c r="AG453" s="516">
        <f t="shared" si="145"/>
        <v>2213738</v>
      </c>
      <c r="AH453" s="516">
        <f t="shared" si="145"/>
        <v>1289970</v>
      </c>
      <c r="AI453" s="516">
        <f t="shared" si="145"/>
        <v>301128</v>
      </c>
      <c r="AJ453" s="516">
        <f t="shared" si="145"/>
        <v>1591098</v>
      </c>
      <c r="AK453" s="516">
        <f t="shared" si="145"/>
        <v>142897</v>
      </c>
      <c r="AL453" s="516">
        <f t="shared" si="145"/>
        <v>260475</v>
      </c>
      <c r="AM453" s="516">
        <f t="shared" si="145"/>
        <v>180241</v>
      </c>
      <c r="AN453" s="516">
        <f t="shared" si="145"/>
        <v>1433170</v>
      </c>
      <c r="AO453" s="516">
        <f t="shared" si="145"/>
        <v>338169</v>
      </c>
      <c r="AP453" s="516">
        <f t="shared" si="145"/>
        <v>1771339</v>
      </c>
      <c r="AQ453" s="516">
        <f t="shared" si="145"/>
        <v>194475</v>
      </c>
      <c r="AR453" s="516">
        <f t="shared" si="145"/>
        <v>47333</v>
      </c>
      <c r="AS453" s="516">
        <f t="shared" si="145"/>
        <v>226620</v>
      </c>
      <c r="AT453" s="516">
        <f t="shared" si="145"/>
        <v>1612456</v>
      </c>
      <c r="AU453" s="516">
        <f t="shared" si="145"/>
        <v>385503</v>
      </c>
      <c r="AV453" s="516">
        <f t="shared" si="145"/>
        <v>1997959</v>
      </c>
      <c r="AW453" s="516">
        <f t="shared" si="145"/>
        <v>0</v>
      </c>
      <c r="AX453" s="516">
        <f t="shared" si="145"/>
        <v>0</v>
      </c>
      <c r="AY453" s="516">
        <f t="shared" si="145"/>
        <v>0</v>
      </c>
      <c r="AZ453" s="516">
        <f t="shared" si="145"/>
        <v>1612456</v>
      </c>
      <c r="BA453" s="516">
        <f t="shared" si="145"/>
        <v>385503</v>
      </c>
      <c r="BB453" s="516">
        <f t="shared" si="145"/>
        <v>1991671</v>
      </c>
      <c r="BC453" s="516">
        <f t="shared" si="145"/>
        <v>-212713</v>
      </c>
      <c r="BD453" s="516">
        <f t="shared" si="145"/>
        <v>-296196</v>
      </c>
      <c r="BE453" s="516">
        <f t="shared" si="145"/>
        <v>-398850</v>
      </c>
      <c r="BF453" s="516">
        <f t="shared" si="145"/>
        <v>1399743</v>
      </c>
      <c r="BG453" s="516">
        <f t="shared" si="145"/>
        <v>89307</v>
      </c>
      <c r="BH453" s="516">
        <f t="shared" si="145"/>
        <v>1599109</v>
      </c>
      <c r="BI453" s="516">
        <f t="shared" si="145"/>
        <v>1742198</v>
      </c>
      <c r="BJ453" s="516">
        <f t="shared" si="145"/>
        <v>-631900</v>
      </c>
      <c r="BK453" s="516">
        <f t="shared" si="145"/>
        <v>1536248</v>
      </c>
      <c r="BL453" s="516">
        <f t="shared" si="145"/>
        <v>985135</v>
      </c>
      <c r="BM453" s="516">
        <f t="shared" si="145"/>
        <v>2521383</v>
      </c>
      <c r="BN453" s="516">
        <f t="shared" si="145"/>
        <v>-423200</v>
      </c>
      <c r="BO453" s="516">
        <f t="shared" si="145"/>
        <v>2777168</v>
      </c>
      <c r="BP453" s="516">
        <f t="shared" si="145"/>
        <v>5913</v>
      </c>
      <c r="BQ453" s="516">
        <f t="shared" si="145"/>
        <v>2213738</v>
      </c>
      <c r="BR453" s="516">
        <f t="shared" si="145"/>
        <v>1591098</v>
      </c>
      <c r="BS453" s="516">
        <f t="shared" si="145"/>
        <v>171255</v>
      </c>
      <c r="BT453" s="516">
        <f t="shared" ref="BT453:CD453" si="146">SUM(BT4:BT452)</f>
        <v>1765051</v>
      </c>
      <c r="BU453" s="516">
        <f t="shared" si="146"/>
        <v>204759</v>
      </c>
      <c r="BV453" s="516">
        <f t="shared" si="146"/>
        <v>1970636</v>
      </c>
      <c r="BW453" s="516">
        <f t="shared" si="146"/>
        <v>-392842</v>
      </c>
      <c r="BX453" s="516">
        <f t="shared" si="146"/>
        <v>1991671</v>
      </c>
      <c r="BY453" s="516">
        <f t="shared" si="146"/>
        <v>0</v>
      </c>
      <c r="BZ453" s="516">
        <f t="shared" si="146"/>
        <v>1599109</v>
      </c>
      <c r="CA453" s="516">
        <f t="shared" si="146"/>
        <v>3812847</v>
      </c>
      <c r="CB453" s="516">
        <f t="shared" si="146"/>
        <v>3245316687.5669289</v>
      </c>
      <c r="CC453" s="516">
        <f t="shared" si="146"/>
        <v>3637416</v>
      </c>
      <c r="CD453" s="516">
        <f t="shared" si="146"/>
        <v>3637416</v>
      </c>
    </row>
    <row r="454" spans="1:82" x14ac:dyDescent="0.2">
      <c r="B454" s="556"/>
      <c r="D454" s="550"/>
      <c r="BM454" s="557"/>
      <c r="BN454" s="557"/>
      <c r="BO454" s="557"/>
      <c r="BT454" s="557"/>
      <c r="BV454" s="550" t="s">
        <v>1616</v>
      </c>
      <c r="CA454" s="558"/>
      <c r="CB454" s="558"/>
      <c r="CC454" s="558"/>
    </row>
    <row r="455" spans="1:82" x14ac:dyDescent="0.2">
      <c r="B455" s="556"/>
      <c r="D455" s="550"/>
      <c r="BM455" s="557"/>
      <c r="BN455" s="557"/>
      <c r="BO455" s="557"/>
      <c r="BT455" s="557"/>
      <c r="CA455" s="558"/>
      <c r="CB455" s="558"/>
      <c r="CC455" s="558"/>
    </row>
    <row r="456" spans="1:82" x14ac:dyDescent="0.2">
      <c r="B456" s="556"/>
      <c r="D456" s="550"/>
      <c r="BM456" s="557"/>
      <c r="BN456" s="557"/>
      <c r="BO456" s="557"/>
      <c r="BT456" s="557"/>
      <c r="CA456" s="558"/>
      <c r="CB456" s="558"/>
      <c r="CC456" s="558"/>
      <c r="CD456" s="604" t="s">
        <v>1830</v>
      </c>
    </row>
    <row r="457" spans="1:82" x14ac:dyDescent="0.2">
      <c r="B457" s="556"/>
      <c r="D457" s="550"/>
      <c r="BV457" s="557"/>
      <c r="BW457" s="557"/>
      <c r="BX457" s="557"/>
      <c r="CA457" s="558"/>
      <c r="CB457" s="558"/>
      <c r="CC457" s="558"/>
      <c r="CD457" s="604" t="s">
        <v>1724</v>
      </c>
    </row>
    <row r="458" spans="1:82" ht="34.5" customHeight="1" x14ac:dyDescent="0.2">
      <c r="A458" s="700" t="s">
        <v>403</v>
      </c>
      <c r="B458" s="701" t="s">
        <v>595</v>
      </c>
      <c r="C458" s="702" t="s">
        <v>596</v>
      </c>
      <c r="D458" s="700" t="s">
        <v>597</v>
      </c>
      <c r="E458" s="700" t="s">
        <v>598</v>
      </c>
      <c r="F458" s="699" t="s">
        <v>1069</v>
      </c>
      <c r="G458" s="698" t="s">
        <v>557</v>
      </c>
      <c r="H458" s="698"/>
      <c r="I458" s="698"/>
      <c r="J458" s="699" t="s">
        <v>599</v>
      </c>
      <c r="K458" s="699"/>
      <c r="L458" s="699"/>
      <c r="M458" s="699" t="s">
        <v>1350</v>
      </c>
      <c r="N458" s="699"/>
      <c r="O458" s="699"/>
      <c r="P458" s="699" t="s">
        <v>599</v>
      </c>
      <c r="Q458" s="699"/>
      <c r="R458" s="699"/>
      <c r="S458" s="699" t="s">
        <v>1141</v>
      </c>
      <c r="T458" s="699"/>
      <c r="U458" s="699"/>
      <c r="V458" s="699" t="s">
        <v>599</v>
      </c>
      <c r="W458" s="699"/>
      <c r="X458" s="699"/>
      <c r="Y458" s="699" t="s">
        <v>1617</v>
      </c>
      <c r="Z458" s="699"/>
      <c r="AA458" s="699"/>
      <c r="AB458" s="699" t="s">
        <v>599</v>
      </c>
      <c r="AC458" s="699"/>
      <c r="AD458" s="699"/>
      <c r="AE458" s="699" t="s">
        <v>1617</v>
      </c>
      <c r="AF458" s="699"/>
      <c r="AG458" s="699"/>
      <c r="AH458" s="698" t="s">
        <v>557</v>
      </c>
      <c r="AI458" s="698"/>
      <c r="AJ458" s="698"/>
      <c r="AK458" s="699" t="s">
        <v>428</v>
      </c>
      <c r="AL458" s="699"/>
      <c r="AM458" s="699"/>
      <c r="AN458" s="699" t="s">
        <v>1350</v>
      </c>
      <c r="AO458" s="699"/>
      <c r="AP458" s="699"/>
      <c r="AQ458" s="699" t="s">
        <v>428</v>
      </c>
      <c r="AR458" s="699"/>
      <c r="AS458" s="699"/>
      <c r="AT458" s="699" t="s">
        <v>1141</v>
      </c>
      <c r="AU458" s="699"/>
      <c r="AV458" s="699"/>
      <c r="AW458" s="708" t="s">
        <v>428</v>
      </c>
      <c r="AX458" s="709"/>
      <c r="AY458" s="710"/>
      <c r="AZ458" s="699" t="s">
        <v>1121</v>
      </c>
      <c r="BA458" s="699"/>
      <c r="BB458" s="699"/>
      <c r="BC458" s="699" t="s">
        <v>599</v>
      </c>
      <c r="BD458" s="699"/>
      <c r="BE458" s="699"/>
      <c r="BF458" s="699" t="s">
        <v>1617</v>
      </c>
      <c r="BG458" s="699"/>
      <c r="BH458" s="699"/>
      <c r="BI458" s="699" t="s">
        <v>600</v>
      </c>
      <c r="BJ458" s="699" t="s">
        <v>601</v>
      </c>
      <c r="BK458" s="699" t="s">
        <v>1351</v>
      </c>
      <c r="BL458" s="699" t="s">
        <v>601</v>
      </c>
      <c r="BM458" s="699" t="s">
        <v>1352</v>
      </c>
      <c r="BN458" s="699" t="s">
        <v>601</v>
      </c>
      <c r="BO458" s="699" t="s">
        <v>1729</v>
      </c>
      <c r="BP458" s="699" t="s">
        <v>601</v>
      </c>
      <c r="BQ458" s="699" t="s">
        <v>1283</v>
      </c>
      <c r="BR458" s="699" t="s">
        <v>602</v>
      </c>
      <c r="BS458" s="699" t="s">
        <v>601</v>
      </c>
      <c r="BT458" s="699" t="s">
        <v>1618</v>
      </c>
      <c r="BU458" s="699" t="s">
        <v>601</v>
      </c>
      <c r="BV458" s="699" t="s">
        <v>1355</v>
      </c>
      <c r="BW458" s="699" t="s">
        <v>601</v>
      </c>
      <c r="BX458" s="699" t="s">
        <v>1292</v>
      </c>
      <c r="BY458" s="699" t="s">
        <v>601</v>
      </c>
      <c r="BZ458" s="699" t="s">
        <v>1638</v>
      </c>
      <c r="CA458" s="705" t="s">
        <v>1619</v>
      </c>
      <c r="CB458" s="500"/>
      <c r="CC458" s="705" t="s">
        <v>1357</v>
      </c>
      <c r="CD458" s="705" t="s">
        <v>1358</v>
      </c>
    </row>
    <row r="459" spans="1:82" ht="23.25" customHeight="1" x14ac:dyDescent="0.2">
      <c r="A459" s="700"/>
      <c r="B459" s="701"/>
      <c r="C459" s="703"/>
      <c r="D459" s="700"/>
      <c r="E459" s="700"/>
      <c r="F459" s="699"/>
      <c r="G459" s="699" t="s">
        <v>405</v>
      </c>
      <c r="H459" s="699"/>
      <c r="I459" s="699"/>
      <c r="J459" s="699" t="s">
        <v>405</v>
      </c>
      <c r="K459" s="699"/>
      <c r="L459" s="699"/>
      <c r="M459" s="699" t="s">
        <v>405</v>
      </c>
      <c r="N459" s="699"/>
      <c r="O459" s="699"/>
      <c r="P459" s="699" t="s">
        <v>405</v>
      </c>
      <c r="Q459" s="699"/>
      <c r="R459" s="699"/>
      <c r="S459" s="699" t="s">
        <v>405</v>
      </c>
      <c r="T459" s="699"/>
      <c r="U459" s="699"/>
      <c r="V459" s="699" t="s">
        <v>405</v>
      </c>
      <c r="W459" s="699"/>
      <c r="X459" s="699"/>
      <c r="Y459" s="699" t="s">
        <v>405</v>
      </c>
      <c r="Z459" s="699"/>
      <c r="AA459" s="699"/>
      <c r="AB459" s="699" t="s">
        <v>405</v>
      </c>
      <c r="AC459" s="699"/>
      <c r="AD459" s="699"/>
      <c r="AE459" s="699" t="s">
        <v>405</v>
      </c>
      <c r="AF459" s="699"/>
      <c r="AG459" s="699"/>
      <c r="AH459" s="699" t="s">
        <v>429</v>
      </c>
      <c r="AI459" s="699"/>
      <c r="AJ459" s="699"/>
      <c r="AK459" s="699" t="s">
        <v>429</v>
      </c>
      <c r="AL459" s="699"/>
      <c r="AM459" s="699"/>
      <c r="AN459" s="699" t="s">
        <v>429</v>
      </c>
      <c r="AO459" s="699"/>
      <c r="AP459" s="699"/>
      <c r="AQ459" s="699" t="s">
        <v>429</v>
      </c>
      <c r="AR459" s="699"/>
      <c r="AS459" s="699"/>
      <c r="AT459" s="699" t="s">
        <v>429</v>
      </c>
      <c r="AU459" s="699"/>
      <c r="AV459" s="699"/>
      <c r="AW459" s="708" t="s">
        <v>429</v>
      </c>
      <c r="AX459" s="709"/>
      <c r="AY459" s="710"/>
      <c r="AZ459" s="699" t="s">
        <v>429</v>
      </c>
      <c r="BA459" s="699"/>
      <c r="BB459" s="699"/>
      <c r="BC459" s="699" t="s">
        <v>429</v>
      </c>
      <c r="BD459" s="699"/>
      <c r="BE459" s="699"/>
      <c r="BF459" s="699" t="s">
        <v>429</v>
      </c>
      <c r="BG459" s="699"/>
      <c r="BH459" s="699"/>
      <c r="BI459" s="699"/>
      <c r="BJ459" s="699"/>
      <c r="BK459" s="699"/>
      <c r="BL459" s="699"/>
      <c r="BM459" s="699"/>
      <c r="BN459" s="699"/>
      <c r="BO459" s="699"/>
      <c r="BP459" s="699"/>
      <c r="BQ459" s="699"/>
      <c r="BR459" s="699"/>
      <c r="BS459" s="699"/>
      <c r="BT459" s="699"/>
      <c r="BU459" s="699"/>
      <c r="BV459" s="699"/>
      <c r="BW459" s="699"/>
      <c r="BX459" s="699"/>
      <c r="BY459" s="699"/>
      <c r="BZ459" s="699"/>
      <c r="CA459" s="706"/>
      <c r="CB459" s="501"/>
      <c r="CC459" s="706"/>
      <c r="CD459" s="706"/>
    </row>
    <row r="460" spans="1:82" x14ac:dyDescent="0.2">
      <c r="A460" s="700"/>
      <c r="B460" s="701"/>
      <c r="C460" s="704"/>
      <c r="D460" s="700"/>
      <c r="E460" s="700"/>
      <c r="F460" s="699"/>
      <c r="G460" s="505" t="s">
        <v>430</v>
      </c>
      <c r="H460" s="505" t="s">
        <v>431</v>
      </c>
      <c r="I460" s="505" t="s">
        <v>406</v>
      </c>
      <c r="J460" s="505" t="s">
        <v>430</v>
      </c>
      <c r="K460" s="505" t="s">
        <v>431</v>
      </c>
      <c r="L460" s="505" t="s">
        <v>406</v>
      </c>
      <c r="M460" s="505" t="s">
        <v>430</v>
      </c>
      <c r="N460" s="505" t="s">
        <v>431</v>
      </c>
      <c r="O460" s="505" t="s">
        <v>406</v>
      </c>
      <c r="P460" s="505" t="s">
        <v>430</v>
      </c>
      <c r="Q460" s="505" t="s">
        <v>431</v>
      </c>
      <c r="R460" s="505" t="s">
        <v>406</v>
      </c>
      <c r="S460" s="505" t="s">
        <v>430</v>
      </c>
      <c r="T460" s="505" t="s">
        <v>431</v>
      </c>
      <c r="U460" s="505" t="s">
        <v>406</v>
      </c>
      <c r="V460" s="505" t="s">
        <v>430</v>
      </c>
      <c r="W460" s="505" t="s">
        <v>431</v>
      </c>
      <c r="X460" s="505" t="s">
        <v>406</v>
      </c>
      <c r="Y460" s="505" t="s">
        <v>430</v>
      </c>
      <c r="Z460" s="505" t="s">
        <v>431</v>
      </c>
      <c r="AA460" s="505" t="s">
        <v>406</v>
      </c>
      <c r="AB460" s="505" t="s">
        <v>430</v>
      </c>
      <c r="AC460" s="505" t="s">
        <v>431</v>
      </c>
      <c r="AD460" s="505" t="s">
        <v>406</v>
      </c>
      <c r="AE460" s="505" t="s">
        <v>430</v>
      </c>
      <c r="AF460" s="505" t="s">
        <v>431</v>
      </c>
      <c r="AG460" s="505" t="s">
        <v>406</v>
      </c>
      <c r="AH460" s="505" t="s">
        <v>430</v>
      </c>
      <c r="AI460" s="505" t="s">
        <v>431</v>
      </c>
      <c r="AJ460" s="505" t="s">
        <v>406</v>
      </c>
      <c r="AK460" s="505" t="s">
        <v>430</v>
      </c>
      <c r="AL460" s="505" t="s">
        <v>431</v>
      </c>
      <c r="AM460" s="505" t="s">
        <v>406</v>
      </c>
      <c r="AN460" s="505" t="s">
        <v>430</v>
      </c>
      <c r="AO460" s="505" t="s">
        <v>431</v>
      </c>
      <c r="AP460" s="505" t="s">
        <v>406</v>
      </c>
      <c r="AQ460" s="505" t="s">
        <v>430</v>
      </c>
      <c r="AR460" s="505" t="s">
        <v>431</v>
      </c>
      <c r="AS460" s="505" t="s">
        <v>406</v>
      </c>
      <c r="AT460" s="505" t="s">
        <v>430</v>
      </c>
      <c r="AU460" s="505" t="s">
        <v>431</v>
      </c>
      <c r="AV460" s="505" t="s">
        <v>406</v>
      </c>
      <c r="AW460" s="505" t="s">
        <v>430</v>
      </c>
      <c r="AX460" s="505" t="s">
        <v>431</v>
      </c>
      <c r="AY460" s="505" t="s">
        <v>406</v>
      </c>
      <c r="AZ460" s="505" t="s">
        <v>430</v>
      </c>
      <c r="BA460" s="505" t="s">
        <v>431</v>
      </c>
      <c r="BB460" s="505" t="s">
        <v>406</v>
      </c>
      <c r="BC460" s="505" t="s">
        <v>430</v>
      </c>
      <c r="BD460" s="505" t="s">
        <v>431</v>
      </c>
      <c r="BE460" s="505" t="s">
        <v>406</v>
      </c>
      <c r="BF460" s="505" t="s">
        <v>430</v>
      </c>
      <c r="BG460" s="505" t="s">
        <v>431</v>
      </c>
      <c r="BH460" s="505" t="s">
        <v>406</v>
      </c>
      <c r="BI460" s="699"/>
      <c r="BJ460" s="699"/>
      <c r="BK460" s="699"/>
      <c r="BL460" s="699"/>
      <c r="BM460" s="699"/>
      <c r="BN460" s="699"/>
      <c r="BO460" s="699"/>
      <c r="BP460" s="699"/>
      <c r="BQ460" s="699"/>
      <c r="BR460" s="699"/>
      <c r="BS460" s="699"/>
      <c r="BT460" s="699"/>
      <c r="BU460" s="699"/>
      <c r="BV460" s="699"/>
      <c r="BW460" s="699"/>
      <c r="BX460" s="699"/>
      <c r="BY460" s="699"/>
      <c r="BZ460" s="699"/>
      <c r="CA460" s="707"/>
      <c r="CB460" s="507"/>
      <c r="CC460" s="707"/>
      <c r="CD460" s="707"/>
    </row>
    <row r="461" spans="1:82" ht="33.75" x14ac:dyDescent="0.2">
      <c r="A461" s="740" t="s">
        <v>407</v>
      </c>
      <c r="B461" s="292" t="s">
        <v>1359</v>
      </c>
      <c r="C461" s="318" t="s">
        <v>1070</v>
      </c>
      <c r="D461" s="512" t="s">
        <v>1055</v>
      </c>
      <c r="E461" s="506" t="s">
        <v>1620</v>
      </c>
      <c r="F461" s="294" t="s">
        <v>1071</v>
      </c>
      <c r="G461" s="295"/>
      <c r="H461" s="296"/>
      <c r="I461" s="499"/>
      <c r="J461" s="297"/>
      <c r="K461" s="297"/>
      <c r="L461" s="297"/>
      <c r="M461" s="297"/>
      <c r="N461" s="297"/>
      <c r="O461" s="516"/>
      <c r="P461" s="505"/>
      <c r="Q461" s="505"/>
      <c r="R461" s="505"/>
      <c r="S461" s="505"/>
      <c r="T461" s="505"/>
      <c r="U461" s="505"/>
      <c r="V461" s="505"/>
      <c r="W461" s="505"/>
      <c r="X461" s="505"/>
      <c r="Y461" s="505"/>
      <c r="Z461" s="505"/>
      <c r="AA461" s="505"/>
      <c r="AB461" s="505"/>
      <c r="AC461" s="505"/>
      <c r="AD461" s="505"/>
      <c r="AE461" s="505"/>
      <c r="AF461" s="505"/>
      <c r="AG461" s="505"/>
      <c r="AH461" s="362"/>
      <c r="AI461" s="516"/>
      <c r="AJ461" s="297"/>
      <c r="AK461" s="297"/>
      <c r="AL461" s="297"/>
      <c r="AM461" s="297"/>
      <c r="AN461" s="297"/>
      <c r="AO461" s="297"/>
      <c r="AP461" s="297"/>
      <c r="AQ461" s="297"/>
      <c r="AR461" s="297"/>
      <c r="AS461" s="297"/>
      <c r="AT461" s="297"/>
      <c r="AU461" s="297"/>
      <c r="AV461" s="297"/>
      <c r="AW461" s="297"/>
      <c r="AX461" s="297"/>
      <c r="AY461" s="297"/>
      <c r="AZ461" s="297"/>
      <c r="BA461" s="297"/>
      <c r="BB461" s="297"/>
      <c r="BC461" s="499">
        <f>BF461-AN461</f>
        <v>180</v>
      </c>
      <c r="BD461" s="499">
        <f>BG461-AO461</f>
        <v>0</v>
      </c>
      <c r="BE461" s="499">
        <f>BH461-AV461</f>
        <v>180</v>
      </c>
      <c r="BF461" s="499">
        <v>180</v>
      </c>
      <c r="BG461" s="499"/>
      <c r="BH461" s="499">
        <f>SUM(BF461:BG461)</f>
        <v>180</v>
      </c>
      <c r="BI461" s="737">
        <f>SUM(I461:I467)</f>
        <v>0</v>
      </c>
      <c r="BJ461" s="737">
        <f>SUM(L461:N467)</f>
        <v>0</v>
      </c>
      <c r="BK461" s="737">
        <f>SUM(O461:Q467)</f>
        <v>0</v>
      </c>
      <c r="BL461" s="737">
        <f>SUM(R461:R467)</f>
        <v>0</v>
      </c>
      <c r="BM461" s="737">
        <f>SUM(U461:U467)</f>
        <v>0</v>
      </c>
      <c r="BN461" s="730">
        <f>SUM(AD461:AD467)</f>
        <v>0</v>
      </c>
      <c r="BO461" s="730">
        <f>SUM(AA461:AA467)</f>
        <v>0</v>
      </c>
      <c r="BP461" s="737"/>
      <c r="BQ461" s="730">
        <f>SUM(AG461:AG467)</f>
        <v>0</v>
      </c>
      <c r="BR461" s="737">
        <f>SUM(AJ461:AJ467)</f>
        <v>0</v>
      </c>
      <c r="BS461" s="737">
        <f>SUM(AM461:AM467)</f>
        <v>0</v>
      </c>
      <c r="BT461" s="737">
        <f>SUM(AP461:AP467)</f>
        <v>0</v>
      </c>
      <c r="BU461" s="737">
        <f>SUM(AS461:AS467)</f>
        <v>0</v>
      </c>
      <c r="BV461" s="737">
        <f>SUM(AV461:AV467)</f>
        <v>0</v>
      </c>
      <c r="BW461" s="730">
        <f>SUM(BE461:BE467)</f>
        <v>959</v>
      </c>
      <c r="BX461" s="730">
        <f>SUM(BB461:BB467)</f>
        <v>0</v>
      </c>
      <c r="BY461" s="737">
        <f>SUM(BE461:BE462)</f>
        <v>307</v>
      </c>
      <c r="BZ461" s="730">
        <f>SUM(BH461:BH467)</f>
        <v>959</v>
      </c>
      <c r="CA461" s="733">
        <f>SUM(BQ461,BZ461)</f>
        <v>959</v>
      </c>
      <c r="CB461" s="296">
        <v>180000</v>
      </c>
      <c r="CC461" s="296">
        <v>180</v>
      </c>
      <c r="CD461" s="735">
        <f>SUM(CC461:CC466)</f>
        <v>940.77800000000002</v>
      </c>
    </row>
    <row r="462" spans="1:82" ht="22.5" x14ac:dyDescent="0.2">
      <c r="A462" s="741"/>
      <c r="B462" s="363" t="s">
        <v>1372</v>
      </c>
      <c r="C462" s="364" t="s">
        <v>1072</v>
      </c>
      <c r="D462" s="513"/>
      <c r="E462" s="705" t="s">
        <v>1621</v>
      </c>
      <c r="F462" s="294" t="s">
        <v>1073</v>
      </c>
      <c r="G462" s="295"/>
      <c r="H462" s="296"/>
      <c r="I462" s="499"/>
      <c r="J462" s="297"/>
      <c r="K462" s="297"/>
      <c r="L462" s="297"/>
      <c r="M462" s="297"/>
      <c r="N462" s="297"/>
      <c r="O462" s="516"/>
      <c r="P462" s="505"/>
      <c r="Q462" s="505"/>
      <c r="R462" s="505"/>
      <c r="S462" s="505"/>
      <c r="T462" s="505"/>
      <c r="U462" s="505"/>
      <c r="V462" s="505"/>
      <c r="W462" s="505"/>
      <c r="X462" s="505"/>
      <c r="Y462" s="505"/>
      <c r="Z462" s="505"/>
      <c r="AA462" s="505"/>
      <c r="AB462" s="505"/>
      <c r="AC462" s="505"/>
      <c r="AD462" s="505"/>
      <c r="AE462" s="505"/>
      <c r="AF462" s="505"/>
      <c r="AG462" s="505"/>
      <c r="AH462" s="362"/>
      <c r="AI462" s="516"/>
      <c r="AJ462" s="297"/>
      <c r="AK462" s="297"/>
      <c r="AL462" s="297"/>
      <c r="AM462" s="297"/>
      <c r="AN462" s="297"/>
      <c r="AO462" s="297"/>
      <c r="AP462" s="297"/>
      <c r="AQ462" s="297"/>
      <c r="AR462" s="297"/>
      <c r="AS462" s="297"/>
      <c r="AT462" s="297"/>
      <c r="AU462" s="297"/>
      <c r="AV462" s="297"/>
      <c r="AW462" s="297"/>
      <c r="AX462" s="297"/>
      <c r="AY462" s="297"/>
      <c r="AZ462" s="297"/>
      <c r="BA462" s="297"/>
      <c r="BB462" s="297"/>
      <c r="BC462" s="499">
        <f>BF462-AN462</f>
        <v>100</v>
      </c>
      <c r="BD462" s="499">
        <f>BG462-AO462</f>
        <v>27</v>
      </c>
      <c r="BE462" s="499">
        <f>BH462-AV462</f>
        <v>127</v>
      </c>
      <c r="BF462" s="499">
        <v>100</v>
      </c>
      <c r="BG462" s="499">
        <v>27</v>
      </c>
      <c r="BH462" s="499">
        <f>SUM(BF462:BG462)</f>
        <v>127</v>
      </c>
      <c r="BI462" s="738"/>
      <c r="BJ462" s="738"/>
      <c r="BK462" s="738"/>
      <c r="BL462" s="738"/>
      <c r="BM462" s="738"/>
      <c r="BN462" s="731"/>
      <c r="BO462" s="731"/>
      <c r="BP462" s="739"/>
      <c r="BQ462" s="731"/>
      <c r="BR462" s="738"/>
      <c r="BS462" s="738"/>
      <c r="BT462" s="738"/>
      <c r="BU462" s="738"/>
      <c r="BV462" s="738"/>
      <c r="BW462" s="731"/>
      <c r="BX462" s="731"/>
      <c r="BY462" s="739"/>
      <c r="BZ462" s="731"/>
      <c r="CA462" s="734"/>
      <c r="CB462" s="296">
        <v>99941</v>
      </c>
      <c r="CC462" s="296">
        <v>126.925</v>
      </c>
      <c r="CD462" s="735"/>
    </row>
    <row r="463" spans="1:82" ht="22.5" x14ac:dyDescent="0.2">
      <c r="A463" s="741"/>
      <c r="B463" s="363" t="s">
        <v>1372</v>
      </c>
      <c r="C463" s="364" t="s">
        <v>1622</v>
      </c>
      <c r="D463" s="513"/>
      <c r="E463" s="706"/>
      <c r="F463" s="365" t="s">
        <v>1623</v>
      </c>
      <c r="G463" s="295"/>
      <c r="H463" s="296"/>
      <c r="I463" s="499"/>
      <c r="J463" s="297"/>
      <c r="K463" s="297"/>
      <c r="L463" s="297"/>
      <c r="M463" s="297"/>
      <c r="N463" s="297"/>
      <c r="O463" s="516"/>
      <c r="P463" s="516"/>
      <c r="Q463" s="516"/>
      <c r="R463" s="516"/>
      <c r="S463" s="516"/>
      <c r="T463" s="516"/>
      <c r="U463" s="516"/>
      <c r="V463" s="516"/>
      <c r="W463" s="516"/>
      <c r="X463" s="516"/>
      <c r="Y463" s="516"/>
      <c r="Z463" s="516"/>
      <c r="AA463" s="516"/>
      <c r="AB463" s="358">
        <f>AE463-M463</f>
        <v>103</v>
      </c>
      <c r="AC463" s="358">
        <f>AF463-N463</f>
        <v>28</v>
      </c>
      <c r="AD463" s="358">
        <f>AG463-O463</f>
        <v>0</v>
      </c>
      <c r="AE463" s="366">
        <v>103</v>
      </c>
      <c r="AF463" s="366">
        <v>28</v>
      </c>
      <c r="AG463" s="366"/>
      <c r="AH463" s="362"/>
      <c r="AI463" s="516"/>
      <c r="AJ463" s="297"/>
      <c r="AK463" s="499"/>
      <c r="AL463" s="499"/>
      <c r="AM463" s="499"/>
      <c r="AN463" s="499"/>
      <c r="AO463" s="499"/>
      <c r="AP463" s="499"/>
      <c r="AQ463" s="499"/>
      <c r="AR463" s="499"/>
      <c r="AS463" s="499"/>
      <c r="AT463" s="499"/>
      <c r="AU463" s="499"/>
      <c r="AV463" s="499"/>
      <c r="AW463" s="499"/>
      <c r="AX463" s="499"/>
      <c r="AY463" s="499"/>
      <c r="AZ463" s="499"/>
      <c r="BA463" s="499"/>
      <c r="BB463" s="499"/>
      <c r="BC463" s="499">
        <f t="shared" ref="BC463:BD467" si="147">BF463-AN463</f>
        <v>103</v>
      </c>
      <c r="BD463" s="499">
        <f t="shared" si="147"/>
        <v>28</v>
      </c>
      <c r="BE463" s="499">
        <f t="shared" ref="BE463:BE467" si="148">BH463-AV463</f>
        <v>131</v>
      </c>
      <c r="BF463" s="499">
        <v>103</v>
      </c>
      <c r="BG463" s="499">
        <v>28</v>
      </c>
      <c r="BH463" s="499">
        <f t="shared" ref="BH463:BH467" si="149">SUM(BF463:BG463)</f>
        <v>131</v>
      </c>
      <c r="BI463" s="738"/>
      <c r="BJ463" s="738"/>
      <c r="BK463" s="738"/>
      <c r="BL463" s="738"/>
      <c r="BM463" s="738"/>
      <c r="BN463" s="731"/>
      <c r="BO463" s="731"/>
      <c r="BP463" s="502"/>
      <c r="BQ463" s="731"/>
      <c r="BR463" s="738"/>
      <c r="BS463" s="738"/>
      <c r="BT463" s="738"/>
      <c r="BU463" s="738"/>
      <c r="BV463" s="738"/>
      <c r="BW463" s="731"/>
      <c r="BX463" s="731"/>
      <c r="BY463" s="502"/>
      <c r="BZ463" s="731"/>
      <c r="CA463" s="734"/>
      <c r="CB463" s="296">
        <v>103142</v>
      </c>
      <c r="CC463" s="296">
        <v>130.99</v>
      </c>
      <c r="CD463" s="735"/>
    </row>
    <row r="464" spans="1:82" ht="22.5" x14ac:dyDescent="0.2">
      <c r="A464" s="741"/>
      <c r="B464" s="363" t="s">
        <v>1372</v>
      </c>
      <c r="C464" s="364" t="s">
        <v>1624</v>
      </c>
      <c r="D464" s="513"/>
      <c r="E464" s="706"/>
      <c r="F464" s="365" t="s">
        <v>1625</v>
      </c>
      <c r="G464" s="295"/>
      <c r="H464" s="296"/>
      <c r="I464" s="499"/>
      <c r="J464" s="297"/>
      <c r="K464" s="297"/>
      <c r="L464" s="297"/>
      <c r="M464" s="297"/>
      <c r="N464" s="297"/>
      <c r="O464" s="516"/>
      <c r="P464" s="516"/>
      <c r="Q464" s="516"/>
      <c r="R464" s="516"/>
      <c r="S464" s="516"/>
      <c r="T464" s="516"/>
      <c r="U464" s="516"/>
      <c r="V464" s="516"/>
      <c r="W464" s="516"/>
      <c r="X464" s="516"/>
      <c r="Y464" s="516"/>
      <c r="Z464" s="516"/>
      <c r="AA464" s="516"/>
      <c r="AB464" s="358">
        <f t="shared" ref="AB464:AD464" si="150">AE464-M464</f>
        <v>58</v>
      </c>
      <c r="AC464" s="358">
        <f t="shared" si="150"/>
        <v>16</v>
      </c>
      <c r="AD464" s="358">
        <f t="shared" si="150"/>
        <v>0</v>
      </c>
      <c r="AE464" s="366">
        <v>58</v>
      </c>
      <c r="AF464" s="366">
        <v>16</v>
      </c>
      <c r="AG464" s="366"/>
      <c r="AH464" s="362"/>
      <c r="AI464" s="516"/>
      <c r="AJ464" s="297"/>
      <c r="AK464" s="499"/>
      <c r="AL464" s="499"/>
      <c r="AM464" s="499"/>
      <c r="AN464" s="499"/>
      <c r="AO464" s="499"/>
      <c r="AP464" s="499"/>
      <c r="AQ464" s="499"/>
      <c r="AR464" s="499"/>
      <c r="AS464" s="499"/>
      <c r="AT464" s="499"/>
      <c r="AU464" s="499"/>
      <c r="AV464" s="499"/>
      <c r="AW464" s="499"/>
      <c r="AX464" s="499"/>
      <c r="AY464" s="499"/>
      <c r="AZ464" s="499"/>
      <c r="BA464" s="499"/>
      <c r="BB464" s="499"/>
      <c r="BC464" s="499">
        <f t="shared" si="147"/>
        <v>58</v>
      </c>
      <c r="BD464" s="499">
        <f t="shared" si="147"/>
        <v>16</v>
      </c>
      <c r="BE464" s="499">
        <f t="shared" si="148"/>
        <v>74</v>
      </c>
      <c r="BF464" s="499">
        <v>58</v>
      </c>
      <c r="BG464" s="499">
        <v>16</v>
      </c>
      <c r="BH464" s="499">
        <f t="shared" si="149"/>
        <v>74</v>
      </c>
      <c r="BI464" s="738"/>
      <c r="BJ464" s="738"/>
      <c r="BK464" s="738"/>
      <c r="BL464" s="738"/>
      <c r="BM464" s="738"/>
      <c r="BN464" s="731"/>
      <c r="BO464" s="731"/>
      <c r="BP464" s="502"/>
      <c r="BQ464" s="731"/>
      <c r="BR464" s="738"/>
      <c r="BS464" s="738"/>
      <c r="BT464" s="738"/>
      <c r="BU464" s="738"/>
      <c r="BV464" s="738"/>
      <c r="BW464" s="731"/>
      <c r="BX464" s="731"/>
      <c r="BY464" s="502"/>
      <c r="BZ464" s="731"/>
      <c r="CA464" s="734"/>
      <c r="CB464" s="296">
        <v>58363</v>
      </c>
      <c r="CC464" s="296">
        <v>74.120999999999995</v>
      </c>
      <c r="CD464" s="735"/>
    </row>
    <row r="465" spans="1:82" ht="22.5" x14ac:dyDescent="0.2">
      <c r="A465" s="741"/>
      <c r="B465" s="363" t="s">
        <v>1372</v>
      </c>
      <c r="C465" s="364" t="s">
        <v>1626</v>
      </c>
      <c r="D465" s="513"/>
      <c r="E465" s="706"/>
      <c r="F465" s="365" t="s">
        <v>1627</v>
      </c>
      <c r="G465" s="295"/>
      <c r="H465" s="296"/>
      <c r="I465" s="499"/>
      <c r="J465" s="297"/>
      <c r="K465" s="297"/>
      <c r="L465" s="297"/>
      <c r="M465" s="297"/>
      <c r="N465" s="297"/>
      <c r="O465" s="516"/>
      <c r="P465" s="516"/>
      <c r="Q465" s="516"/>
      <c r="R465" s="516"/>
      <c r="S465" s="516"/>
      <c r="T465" s="516"/>
      <c r="U465" s="516"/>
      <c r="V465" s="516"/>
      <c r="W465" s="516"/>
      <c r="X465" s="516"/>
      <c r="Y465" s="516"/>
      <c r="Z465" s="516"/>
      <c r="AA465" s="516"/>
      <c r="AB465" s="358"/>
      <c r="AC465" s="358"/>
      <c r="AD465" s="358"/>
      <c r="AE465" s="366"/>
      <c r="AF465" s="366"/>
      <c r="AG465" s="366"/>
      <c r="AH465" s="362"/>
      <c r="AI465" s="516"/>
      <c r="AJ465" s="297"/>
      <c r="AK465" s="499"/>
      <c r="AL465" s="499"/>
      <c r="AM465" s="499"/>
      <c r="AN465" s="499"/>
      <c r="AO465" s="499"/>
      <c r="AP465" s="499"/>
      <c r="AQ465" s="499"/>
      <c r="AR465" s="499"/>
      <c r="AS465" s="499"/>
      <c r="AT465" s="499"/>
      <c r="AU465" s="499"/>
      <c r="AV465" s="499"/>
      <c r="AW465" s="499"/>
      <c r="AX465" s="499"/>
      <c r="AY465" s="499"/>
      <c r="AZ465" s="499"/>
      <c r="BA465" s="499"/>
      <c r="BB465" s="499"/>
      <c r="BC465" s="499">
        <f t="shared" si="147"/>
        <v>138</v>
      </c>
      <c r="BD465" s="499">
        <f t="shared" si="147"/>
        <v>37</v>
      </c>
      <c r="BE465" s="499">
        <f t="shared" si="148"/>
        <v>175</v>
      </c>
      <c r="BF465" s="499">
        <v>138</v>
      </c>
      <c r="BG465" s="499">
        <v>37</v>
      </c>
      <c r="BH465" s="499">
        <f t="shared" si="149"/>
        <v>175</v>
      </c>
      <c r="BI465" s="738"/>
      <c r="BJ465" s="738"/>
      <c r="BK465" s="738"/>
      <c r="BL465" s="738"/>
      <c r="BM465" s="738"/>
      <c r="BN465" s="731"/>
      <c r="BO465" s="731"/>
      <c r="BP465" s="502"/>
      <c r="BQ465" s="731"/>
      <c r="BR465" s="738"/>
      <c r="BS465" s="738"/>
      <c r="BT465" s="738"/>
      <c r="BU465" s="738"/>
      <c r="BV465" s="738"/>
      <c r="BW465" s="731"/>
      <c r="BX465" s="731"/>
      <c r="BY465" s="502"/>
      <c r="BZ465" s="731"/>
      <c r="CA465" s="734"/>
      <c r="CB465" s="296">
        <v>137795</v>
      </c>
      <c r="CC465" s="296">
        <v>175</v>
      </c>
      <c r="CD465" s="735"/>
    </row>
    <row r="466" spans="1:82" ht="22.5" x14ac:dyDescent="0.2">
      <c r="A466" s="742"/>
      <c r="B466" s="363" t="s">
        <v>1359</v>
      </c>
      <c r="C466" s="364" t="s">
        <v>1628</v>
      </c>
      <c r="D466" s="513"/>
      <c r="E466" s="503" t="s">
        <v>1629</v>
      </c>
      <c r="F466" s="365" t="s">
        <v>1630</v>
      </c>
      <c r="G466" s="295"/>
      <c r="H466" s="296"/>
      <c r="I466" s="499"/>
      <c r="J466" s="297"/>
      <c r="K466" s="297"/>
      <c r="L466" s="297"/>
      <c r="M466" s="297"/>
      <c r="N466" s="297"/>
      <c r="O466" s="516"/>
      <c r="P466" s="516"/>
      <c r="Q466" s="516"/>
      <c r="R466" s="516"/>
      <c r="S466" s="516"/>
      <c r="T466" s="516"/>
      <c r="U466" s="516"/>
      <c r="V466" s="516"/>
      <c r="W466" s="516"/>
      <c r="X466" s="516"/>
      <c r="Y466" s="516"/>
      <c r="Z466" s="516"/>
      <c r="AA466" s="516"/>
      <c r="AB466" s="358">
        <f t="shared" ref="AB466:AD466" si="151">AE466-M466</f>
        <v>200</v>
      </c>
      <c r="AC466" s="358">
        <f t="shared" si="151"/>
        <v>54</v>
      </c>
      <c r="AD466" s="358">
        <f t="shared" si="151"/>
        <v>0</v>
      </c>
      <c r="AE466" s="366">
        <v>200</v>
      </c>
      <c r="AF466" s="366">
        <v>54</v>
      </c>
      <c r="AG466" s="366"/>
      <c r="AH466" s="362"/>
      <c r="AI466" s="516"/>
      <c r="AJ466" s="297"/>
      <c r="AK466" s="499"/>
      <c r="AL466" s="499"/>
      <c r="AM466" s="499"/>
      <c r="AN466" s="499"/>
      <c r="AO466" s="499"/>
      <c r="AP466" s="499"/>
      <c r="AQ466" s="499"/>
      <c r="AR466" s="499"/>
      <c r="AS466" s="499"/>
      <c r="AT466" s="499"/>
      <c r="AU466" s="499"/>
      <c r="AV466" s="499"/>
      <c r="AW466" s="499"/>
      <c r="AX466" s="499"/>
      <c r="AY466" s="499"/>
      <c r="AZ466" s="499"/>
      <c r="BA466" s="499"/>
      <c r="BB466" s="499"/>
      <c r="BC466" s="499">
        <f t="shared" si="147"/>
        <v>200</v>
      </c>
      <c r="BD466" s="499">
        <f t="shared" si="147"/>
        <v>54</v>
      </c>
      <c r="BE466" s="499">
        <f t="shared" si="148"/>
        <v>254</v>
      </c>
      <c r="BF466" s="499">
        <v>200</v>
      </c>
      <c r="BG466" s="499">
        <v>54</v>
      </c>
      <c r="BH466" s="499">
        <f t="shared" si="149"/>
        <v>254</v>
      </c>
      <c r="BI466" s="738"/>
      <c r="BJ466" s="738"/>
      <c r="BK466" s="738"/>
      <c r="BL466" s="738"/>
      <c r="BM466" s="738"/>
      <c r="BN466" s="731"/>
      <c r="BO466" s="731"/>
      <c r="BP466" s="502"/>
      <c r="BQ466" s="731"/>
      <c r="BR466" s="738"/>
      <c r="BS466" s="738"/>
      <c r="BT466" s="738"/>
      <c r="BU466" s="738"/>
      <c r="BV466" s="738"/>
      <c r="BW466" s="731"/>
      <c r="BX466" s="731"/>
      <c r="BY466" s="502"/>
      <c r="BZ466" s="731"/>
      <c r="CA466" s="734"/>
      <c r="CB466" s="296">
        <v>199797</v>
      </c>
      <c r="CC466" s="296">
        <v>253.74199999999999</v>
      </c>
      <c r="CD466" s="735"/>
    </row>
    <row r="467" spans="1:82" ht="33.75" x14ac:dyDescent="0.2">
      <c r="A467" s="504" t="s">
        <v>1631</v>
      </c>
      <c r="B467" s="363" t="s">
        <v>1372</v>
      </c>
      <c r="C467" s="364" t="s">
        <v>1632</v>
      </c>
      <c r="D467" s="513"/>
      <c r="E467" s="503" t="s">
        <v>1621</v>
      </c>
      <c r="F467" s="365" t="s">
        <v>1633</v>
      </c>
      <c r="G467" s="295"/>
      <c r="H467" s="296"/>
      <c r="I467" s="499"/>
      <c r="J467" s="297"/>
      <c r="K467" s="297"/>
      <c r="L467" s="297"/>
      <c r="M467" s="297"/>
      <c r="N467" s="297"/>
      <c r="O467" s="516"/>
      <c r="P467" s="516"/>
      <c r="Q467" s="516"/>
      <c r="R467" s="516"/>
      <c r="S467" s="516"/>
      <c r="T467" s="516"/>
      <c r="U467" s="516"/>
      <c r="V467" s="516"/>
      <c r="W467" s="516"/>
      <c r="X467" s="516"/>
      <c r="Y467" s="516"/>
      <c r="Z467" s="516"/>
      <c r="AA467" s="516"/>
      <c r="AB467" s="358"/>
      <c r="AC467" s="358"/>
      <c r="AD467" s="358"/>
      <c r="AE467" s="366"/>
      <c r="AF467" s="366"/>
      <c r="AG467" s="366"/>
      <c r="AH467" s="362"/>
      <c r="AI467" s="516"/>
      <c r="AJ467" s="297"/>
      <c r="AK467" s="499"/>
      <c r="AL467" s="499"/>
      <c r="AM467" s="499"/>
      <c r="AN467" s="499"/>
      <c r="AO467" s="499"/>
      <c r="AP467" s="499"/>
      <c r="AQ467" s="499"/>
      <c r="AR467" s="499"/>
      <c r="AS467" s="499"/>
      <c r="AT467" s="499"/>
      <c r="AU467" s="499"/>
      <c r="AV467" s="499"/>
      <c r="AW467" s="499"/>
      <c r="AX467" s="499"/>
      <c r="AY467" s="499"/>
      <c r="AZ467" s="499"/>
      <c r="BA467" s="499"/>
      <c r="BB467" s="499"/>
      <c r="BC467" s="499">
        <f t="shared" si="147"/>
        <v>14</v>
      </c>
      <c r="BD467" s="499">
        <f t="shared" si="147"/>
        <v>4</v>
      </c>
      <c r="BE467" s="499">
        <f t="shared" si="148"/>
        <v>18</v>
      </c>
      <c r="BF467" s="499">
        <v>14</v>
      </c>
      <c r="BG467" s="499">
        <v>4</v>
      </c>
      <c r="BH467" s="499">
        <f t="shared" si="149"/>
        <v>18</v>
      </c>
      <c r="BI467" s="738"/>
      <c r="BJ467" s="738"/>
      <c r="BK467" s="738"/>
      <c r="BL467" s="738"/>
      <c r="BM467" s="738"/>
      <c r="BN467" s="731"/>
      <c r="BO467" s="731"/>
      <c r="BP467" s="502"/>
      <c r="BQ467" s="732"/>
      <c r="BR467" s="738"/>
      <c r="BS467" s="738"/>
      <c r="BT467" s="738"/>
      <c r="BU467" s="738"/>
      <c r="BV467" s="738"/>
      <c r="BW467" s="731"/>
      <c r="BX467" s="731"/>
      <c r="BY467" s="502"/>
      <c r="BZ467" s="732"/>
      <c r="CA467" s="734"/>
      <c r="CB467" s="296">
        <v>14172</v>
      </c>
      <c r="CC467" s="296">
        <v>17.998999999999999</v>
      </c>
      <c r="CD467" s="502">
        <f>SUM(CC467)</f>
        <v>17.998999999999999</v>
      </c>
    </row>
    <row r="468" spans="1:82" ht="22.5" x14ac:dyDescent="0.2">
      <c r="A468" s="736"/>
      <c r="B468" s="736"/>
      <c r="C468" s="736"/>
      <c r="D468" s="736"/>
      <c r="E468" s="736"/>
      <c r="F468" s="325" t="s">
        <v>1074</v>
      </c>
      <c r="G468" s="295">
        <f>SUM(G461:G467)</f>
        <v>0</v>
      </c>
      <c r="H468" s="295">
        <f t="shared" ref="H468:BS468" si="152">SUM(H461:H467)</f>
        <v>0</v>
      </c>
      <c r="I468" s="295">
        <f t="shared" si="152"/>
        <v>0</v>
      </c>
      <c r="J468" s="295">
        <f t="shared" si="152"/>
        <v>0</v>
      </c>
      <c r="K468" s="295">
        <f t="shared" si="152"/>
        <v>0</v>
      </c>
      <c r="L468" s="295">
        <f t="shared" si="152"/>
        <v>0</v>
      </c>
      <c r="M468" s="295">
        <f t="shared" si="152"/>
        <v>0</v>
      </c>
      <c r="N468" s="295">
        <f t="shared" si="152"/>
        <v>0</v>
      </c>
      <c r="O468" s="295">
        <f t="shared" si="152"/>
        <v>0</v>
      </c>
      <c r="P468" s="295">
        <f t="shared" si="152"/>
        <v>0</v>
      </c>
      <c r="Q468" s="295">
        <f t="shared" si="152"/>
        <v>0</v>
      </c>
      <c r="R468" s="295">
        <f t="shared" si="152"/>
        <v>0</v>
      </c>
      <c r="S468" s="295">
        <f t="shared" si="152"/>
        <v>0</v>
      </c>
      <c r="T468" s="295">
        <f t="shared" si="152"/>
        <v>0</v>
      </c>
      <c r="U468" s="295">
        <f t="shared" si="152"/>
        <v>0</v>
      </c>
      <c r="V468" s="295">
        <f t="shared" si="152"/>
        <v>0</v>
      </c>
      <c r="W468" s="295">
        <f t="shared" si="152"/>
        <v>0</v>
      </c>
      <c r="X468" s="295">
        <f t="shared" si="152"/>
        <v>0</v>
      </c>
      <c r="Y468" s="295">
        <f t="shared" si="152"/>
        <v>0</v>
      </c>
      <c r="Z468" s="295">
        <f t="shared" si="152"/>
        <v>0</v>
      </c>
      <c r="AA468" s="295">
        <f t="shared" si="152"/>
        <v>0</v>
      </c>
      <c r="AB468" s="295">
        <f t="shared" si="152"/>
        <v>361</v>
      </c>
      <c r="AC468" s="295">
        <f t="shared" si="152"/>
        <v>98</v>
      </c>
      <c r="AD468" s="295">
        <f t="shared" si="152"/>
        <v>0</v>
      </c>
      <c r="AE468" s="295">
        <f t="shared" si="152"/>
        <v>361</v>
      </c>
      <c r="AF468" s="295">
        <f t="shared" si="152"/>
        <v>98</v>
      </c>
      <c r="AG468" s="295">
        <f t="shared" si="152"/>
        <v>0</v>
      </c>
      <c r="AH468" s="295">
        <f t="shared" si="152"/>
        <v>0</v>
      </c>
      <c r="AI468" s="295">
        <f t="shared" si="152"/>
        <v>0</v>
      </c>
      <c r="AJ468" s="295">
        <f t="shared" si="152"/>
        <v>0</v>
      </c>
      <c r="AK468" s="295">
        <f t="shared" si="152"/>
        <v>0</v>
      </c>
      <c r="AL468" s="295">
        <f t="shared" si="152"/>
        <v>0</v>
      </c>
      <c r="AM468" s="295">
        <f t="shared" si="152"/>
        <v>0</v>
      </c>
      <c r="AN468" s="295">
        <f t="shared" si="152"/>
        <v>0</v>
      </c>
      <c r="AO468" s="295">
        <f t="shared" si="152"/>
        <v>0</v>
      </c>
      <c r="AP468" s="295">
        <f t="shared" si="152"/>
        <v>0</v>
      </c>
      <c r="AQ468" s="295">
        <f t="shared" si="152"/>
        <v>0</v>
      </c>
      <c r="AR468" s="295">
        <f t="shared" si="152"/>
        <v>0</v>
      </c>
      <c r="AS468" s="295">
        <f t="shared" si="152"/>
        <v>0</v>
      </c>
      <c r="AT468" s="295">
        <f t="shared" si="152"/>
        <v>0</v>
      </c>
      <c r="AU468" s="295">
        <f t="shared" si="152"/>
        <v>0</v>
      </c>
      <c r="AV468" s="295">
        <f t="shared" si="152"/>
        <v>0</v>
      </c>
      <c r="AW468" s="295">
        <f t="shared" si="152"/>
        <v>0</v>
      </c>
      <c r="AX468" s="295">
        <f t="shared" si="152"/>
        <v>0</v>
      </c>
      <c r="AY468" s="295">
        <f t="shared" si="152"/>
        <v>0</v>
      </c>
      <c r="AZ468" s="295">
        <f t="shared" si="152"/>
        <v>0</v>
      </c>
      <c r="BA468" s="295">
        <f t="shared" si="152"/>
        <v>0</v>
      </c>
      <c r="BB468" s="295">
        <f t="shared" si="152"/>
        <v>0</v>
      </c>
      <c r="BC468" s="295">
        <f t="shared" si="152"/>
        <v>793</v>
      </c>
      <c r="BD468" s="295">
        <f t="shared" si="152"/>
        <v>166</v>
      </c>
      <c r="BE468" s="295">
        <f t="shared" si="152"/>
        <v>959</v>
      </c>
      <c r="BF468" s="295">
        <f t="shared" si="152"/>
        <v>793</v>
      </c>
      <c r="BG468" s="295">
        <f t="shared" si="152"/>
        <v>166</v>
      </c>
      <c r="BH468" s="295">
        <f t="shared" si="152"/>
        <v>959</v>
      </c>
      <c r="BI468" s="295">
        <f t="shared" si="152"/>
        <v>0</v>
      </c>
      <c r="BJ468" s="295">
        <f t="shared" si="152"/>
        <v>0</v>
      </c>
      <c r="BK468" s="295">
        <f t="shared" si="152"/>
        <v>0</v>
      </c>
      <c r="BL468" s="295">
        <f t="shared" si="152"/>
        <v>0</v>
      </c>
      <c r="BM468" s="295">
        <f t="shared" si="152"/>
        <v>0</v>
      </c>
      <c r="BN468" s="295">
        <f t="shared" si="152"/>
        <v>0</v>
      </c>
      <c r="BO468" s="295">
        <f t="shared" si="152"/>
        <v>0</v>
      </c>
      <c r="BP468" s="295">
        <f t="shared" si="152"/>
        <v>0</v>
      </c>
      <c r="BQ468" s="295">
        <f t="shared" si="152"/>
        <v>0</v>
      </c>
      <c r="BR468" s="295">
        <f t="shared" si="152"/>
        <v>0</v>
      </c>
      <c r="BS468" s="295">
        <f t="shared" si="152"/>
        <v>0</v>
      </c>
      <c r="BT468" s="295">
        <f t="shared" ref="BT468:CB468" si="153">SUM(BT461:BT467)</f>
        <v>0</v>
      </c>
      <c r="BU468" s="295">
        <f t="shared" si="153"/>
        <v>0</v>
      </c>
      <c r="BV468" s="295">
        <f t="shared" si="153"/>
        <v>0</v>
      </c>
      <c r="BW468" s="295">
        <f t="shared" si="153"/>
        <v>959</v>
      </c>
      <c r="BX468" s="295">
        <f t="shared" si="153"/>
        <v>0</v>
      </c>
      <c r="BY468" s="295">
        <f t="shared" si="153"/>
        <v>307</v>
      </c>
      <c r="BZ468" s="295">
        <f t="shared" si="153"/>
        <v>959</v>
      </c>
      <c r="CA468" s="295">
        <f t="shared" si="153"/>
        <v>959</v>
      </c>
      <c r="CB468" s="295">
        <f t="shared" si="153"/>
        <v>793210</v>
      </c>
      <c r="CC468" s="295">
        <f>SUM(CC461:CC467)</f>
        <v>958.77700000000004</v>
      </c>
      <c r="CD468" s="299">
        <f t="shared" ref="CD468" si="154">SUM(CD461:CD467)</f>
        <v>958.77700000000004</v>
      </c>
    </row>
    <row r="502" spans="1:82" s="550" customFormat="1" x14ac:dyDescent="0.2">
      <c r="A502" s="367"/>
      <c r="B502" s="560"/>
      <c r="C502" s="561"/>
      <c r="D502" s="562"/>
      <c r="E502" s="368"/>
      <c r="F502" s="361"/>
      <c r="G502" s="562"/>
      <c r="H502" s="562"/>
      <c r="I502" s="562"/>
      <c r="J502" s="562"/>
      <c r="K502" s="562"/>
      <c r="L502" s="562"/>
      <c r="M502" s="562"/>
      <c r="N502" s="562"/>
      <c r="O502" s="562"/>
      <c r="P502" s="562"/>
      <c r="Q502" s="562"/>
      <c r="R502" s="562"/>
      <c r="S502" s="562"/>
      <c r="T502" s="562"/>
      <c r="U502" s="562"/>
      <c r="V502" s="562"/>
      <c r="W502" s="562"/>
      <c r="X502" s="562"/>
      <c r="Y502" s="562"/>
      <c r="Z502" s="562"/>
      <c r="AA502" s="562"/>
      <c r="AB502" s="562"/>
      <c r="AC502" s="562"/>
      <c r="AD502" s="562"/>
      <c r="AE502" s="562"/>
      <c r="AF502" s="562"/>
      <c r="AG502" s="562"/>
      <c r="AH502" s="562"/>
      <c r="AI502" s="562"/>
      <c r="AJ502" s="562"/>
      <c r="AK502" s="562"/>
      <c r="AL502" s="562"/>
      <c r="AM502" s="562"/>
      <c r="AN502" s="562"/>
      <c r="AO502" s="562"/>
      <c r="AP502" s="562"/>
      <c r="AQ502" s="562"/>
      <c r="AR502" s="562"/>
      <c r="AS502" s="562"/>
      <c r="AT502" s="562"/>
      <c r="AU502" s="562"/>
      <c r="AV502" s="562"/>
      <c r="AW502" s="562"/>
      <c r="AX502" s="562"/>
      <c r="AY502" s="562"/>
      <c r="AZ502" s="562"/>
      <c r="BA502" s="562"/>
      <c r="BB502" s="562"/>
      <c r="BC502" s="562"/>
      <c r="BD502" s="562"/>
      <c r="BE502" s="562"/>
      <c r="BF502" s="562"/>
      <c r="BG502" s="562"/>
      <c r="BH502" s="562"/>
      <c r="CA502" s="559"/>
      <c r="CB502" s="559"/>
      <c r="CC502" s="559"/>
      <c r="CD502" s="559"/>
    </row>
    <row r="503" spans="1:82" s="550" customFormat="1" x14ac:dyDescent="0.2">
      <c r="A503" s="367"/>
      <c r="B503" s="560"/>
      <c r="C503" s="561"/>
      <c r="D503" s="562"/>
      <c r="E503" s="368"/>
      <c r="F503" s="361"/>
      <c r="G503" s="562"/>
      <c r="H503" s="562"/>
      <c r="I503" s="562"/>
      <c r="J503" s="562"/>
      <c r="K503" s="562"/>
      <c r="L503" s="562"/>
      <c r="M503" s="562"/>
      <c r="N503" s="562"/>
      <c r="O503" s="562"/>
      <c r="P503" s="562"/>
      <c r="Q503" s="562"/>
      <c r="R503" s="562"/>
      <c r="S503" s="562"/>
      <c r="T503" s="562"/>
      <c r="U503" s="562"/>
      <c r="V503" s="562"/>
      <c r="W503" s="562"/>
      <c r="X503" s="562"/>
      <c r="Y503" s="562"/>
      <c r="Z503" s="562"/>
      <c r="AA503" s="562"/>
      <c r="AB503" s="562"/>
      <c r="AC503" s="562"/>
      <c r="AD503" s="562"/>
      <c r="AE503" s="562"/>
      <c r="AF503" s="562"/>
      <c r="AG503" s="562"/>
      <c r="AH503" s="562"/>
      <c r="AI503" s="562"/>
      <c r="AJ503" s="562"/>
      <c r="AK503" s="562"/>
      <c r="AL503" s="562"/>
      <c r="AM503" s="562"/>
      <c r="AN503" s="562"/>
      <c r="AO503" s="562"/>
      <c r="AP503" s="562"/>
      <c r="AQ503" s="562"/>
      <c r="AR503" s="562"/>
      <c r="AS503" s="562"/>
      <c r="AT503" s="562"/>
      <c r="AU503" s="562"/>
      <c r="AV503" s="562"/>
      <c r="AW503" s="562"/>
      <c r="AX503" s="562"/>
      <c r="AY503" s="562"/>
      <c r="AZ503" s="562"/>
      <c r="BA503" s="562"/>
      <c r="BB503" s="562"/>
      <c r="BC503" s="562"/>
      <c r="BD503" s="562"/>
      <c r="BE503" s="562"/>
      <c r="BF503" s="562"/>
      <c r="BG503" s="562"/>
      <c r="BH503" s="562"/>
      <c r="CA503" s="559"/>
      <c r="CB503" s="559"/>
      <c r="CC503" s="559"/>
      <c r="CD503" s="559"/>
    </row>
    <row r="504" spans="1:82" s="550" customFormat="1" x14ac:dyDescent="0.2">
      <c r="A504" s="367"/>
      <c r="B504" s="560"/>
      <c r="C504" s="561"/>
      <c r="D504" s="562"/>
      <c r="E504" s="368"/>
      <c r="F504" s="361"/>
      <c r="G504" s="562"/>
      <c r="H504" s="562"/>
      <c r="I504" s="562"/>
      <c r="J504" s="562"/>
      <c r="K504" s="562"/>
      <c r="L504" s="562"/>
      <c r="M504" s="562"/>
      <c r="N504" s="562"/>
      <c r="O504" s="562"/>
      <c r="P504" s="562"/>
      <c r="Q504" s="562"/>
      <c r="R504" s="562"/>
      <c r="S504" s="562"/>
      <c r="T504" s="562"/>
      <c r="U504" s="562"/>
      <c r="V504" s="562"/>
      <c r="W504" s="562"/>
      <c r="X504" s="562"/>
      <c r="Y504" s="562"/>
      <c r="Z504" s="562"/>
      <c r="AA504" s="562"/>
      <c r="AB504" s="562"/>
      <c r="AC504" s="562"/>
      <c r="AD504" s="562"/>
      <c r="AE504" s="562"/>
      <c r="AF504" s="562"/>
      <c r="AG504" s="562"/>
      <c r="AH504" s="562"/>
      <c r="AI504" s="562"/>
      <c r="AJ504" s="562"/>
      <c r="AK504" s="562"/>
      <c r="AL504" s="562"/>
      <c r="AM504" s="562"/>
      <c r="AN504" s="562"/>
      <c r="AO504" s="562"/>
      <c r="AP504" s="562"/>
      <c r="AQ504" s="562"/>
      <c r="AR504" s="562"/>
      <c r="AS504" s="562"/>
      <c r="AT504" s="562"/>
      <c r="AU504" s="562"/>
      <c r="AV504" s="562"/>
      <c r="AW504" s="562"/>
      <c r="AX504" s="562"/>
      <c r="AY504" s="562"/>
      <c r="AZ504" s="562"/>
      <c r="BA504" s="562"/>
      <c r="BB504" s="562"/>
      <c r="BC504" s="562"/>
      <c r="BD504" s="562"/>
      <c r="BE504" s="562"/>
      <c r="BF504" s="562"/>
      <c r="BG504" s="562"/>
      <c r="BH504" s="562"/>
      <c r="CA504" s="559"/>
      <c r="CB504" s="559"/>
      <c r="CC504" s="559"/>
      <c r="CD504" s="559"/>
    </row>
    <row r="505" spans="1:82" s="550" customFormat="1" x14ac:dyDescent="0.2">
      <c r="A505" s="367"/>
      <c r="B505" s="560"/>
      <c r="C505" s="561"/>
      <c r="D505" s="562"/>
      <c r="E505" s="368"/>
      <c r="F505" s="361"/>
      <c r="G505" s="562"/>
      <c r="H505" s="562"/>
      <c r="I505" s="562"/>
      <c r="J505" s="562"/>
      <c r="K505" s="562"/>
      <c r="L505" s="562"/>
      <c r="M505" s="562"/>
      <c r="N505" s="562"/>
      <c r="O505" s="562"/>
      <c r="P505" s="562"/>
      <c r="Q505" s="562"/>
      <c r="R505" s="562"/>
      <c r="S505" s="562"/>
      <c r="T505" s="562"/>
      <c r="U505" s="562"/>
      <c r="V505" s="562"/>
      <c r="W505" s="562"/>
      <c r="X505" s="562"/>
      <c r="Y505" s="562"/>
      <c r="Z505" s="562"/>
      <c r="AA505" s="562"/>
      <c r="AB505" s="562"/>
      <c r="AC505" s="562"/>
      <c r="AD505" s="562"/>
      <c r="AE505" s="562"/>
      <c r="AF505" s="562"/>
      <c r="AG505" s="562"/>
      <c r="AH505" s="562"/>
      <c r="AI505" s="562"/>
      <c r="AJ505" s="562"/>
      <c r="AK505" s="562"/>
      <c r="AL505" s="562"/>
      <c r="AM505" s="562"/>
      <c r="AN505" s="562"/>
      <c r="AO505" s="562"/>
      <c r="AP505" s="562"/>
      <c r="AQ505" s="562"/>
      <c r="AR505" s="562"/>
      <c r="AS505" s="562"/>
      <c r="AT505" s="562"/>
      <c r="AU505" s="562"/>
      <c r="AV505" s="562"/>
      <c r="AW505" s="562"/>
      <c r="AX505" s="562"/>
      <c r="AY505" s="562"/>
      <c r="AZ505" s="562"/>
      <c r="BA505" s="562"/>
      <c r="BB505" s="562"/>
      <c r="BC505" s="562"/>
      <c r="BD505" s="562"/>
      <c r="BE505" s="562"/>
      <c r="BF505" s="562"/>
      <c r="BG505" s="562"/>
      <c r="BH505" s="562"/>
      <c r="CA505" s="559"/>
      <c r="CB505" s="559"/>
      <c r="CC505" s="559"/>
      <c r="CD505" s="559"/>
    </row>
    <row r="506" spans="1:82" s="550" customFormat="1" x14ac:dyDescent="0.2">
      <c r="A506" s="367"/>
      <c r="B506" s="560"/>
      <c r="C506" s="561"/>
      <c r="D506" s="562"/>
      <c r="E506" s="368"/>
      <c r="F506" s="361"/>
      <c r="G506" s="562"/>
      <c r="H506" s="562"/>
      <c r="I506" s="562"/>
      <c r="J506" s="562"/>
      <c r="K506" s="562"/>
      <c r="L506" s="562"/>
      <c r="M506" s="562"/>
      <c r="N506" s="562"/>
      <c r="O506" s="562"/>
      <c r="P506" s="562"/>
      <c r="Q506" s="562"/>
      <c r="R506" s="562"/>
      <c r="S506" s="562"/>
      <c r="T506" s="562"/>
      <c r="U506" s="562"/>
      <c r="V506" s="562"/>
      <c r="W506" s="562"/>
      <c r="X506" s="562"/>
      <c r="Y506" s="562"/>
      <c r="Z506" s="562"/>
      <c r="AA506" s="562"/>
      <c r="AB506" s="562"/>
      <c r="AC506" s="562"/>
      <c r="AD506" s="562"/>
      <c r="AE506" s="562"/>
      <c r="AF506" s="562"/>
      <c r="AG506" s="562"/>
      <c r="AH506" s="562"/>
      <c r="AI506" s="562"/>
      <c r="AJ506" s="562"/>
      <c r="AK506" s="562"/>
      <c r="AL506" s="562"/>
      <c r="AM506" s="562"/>
      <c r="AN506" s="562"/>
      <c r="AO506" s="562"/>
      <c r="AP506" s="562"/>
      <c r="AQ506" s="562"/>
      <c r="AR506" s="562"/>
      <c r="AS506" s="562"/>
      <c r="AT506" s="562"/>
      <c r="AU506" s="562"/>
      <c r="AV506" s="562"/>
      <c r="AW506" s="562"/>
      <c r="AX506" s="562"/>
      <c r="AY506" s="562"/>
      <c r="AZ506" s="562"/>
      <c r="BA506" s="562"/>
      <c r="BB506" s="562"/>
      <c r="BC506" s="562"/>
      <c r="BD506" s="562"/>
      <c r="BE506" s="562"/>
      <c r="BF506" s="562"/>
      <c r="BG506" s="562"/>
      <c r="BH506" s="562"/>
      <c r="CA506" s="559"/>
      <c r="CB506" s="559"/>
      <c r="CC506" s="559"/>
      <c r="CD506" s="559"/>
    </row>
    <row r="507" spans="1:82" s="550" customFormat="1" x14ac:dyDescent="0.2">
      <c r="A507" s="367"/>
      <c r="B507" s="560"/>
      <c r="C507" s="561"/>
      <c r="D507" s="562"/>
      <c r="E507" s="368"/>
      <c r="F507" s="361"/>
      <c r="G507" s="562"/>
      <c r="H507" s="562"/>
      <c r="I507" s="562"/>
      <c r="J507" s="562"/>
      <c r="K507" s="562"/>
      <c r="L507" s="562"/>
      <c r="M507" s="562"/>
      <c r="N507" s="562"/>
      <c r="O507" s="562"/>
      <c r="P507" s="562"/>
      <c r="Q507" s="562"/>
      <c r="R507" s="562"/>
      <c r="S507" s="562"/>
      <c r="T507" s="562"/>
      <c r="U507" s="562"/>
      <c r="V507" s="562"/>
      <c r="W507" s="562"/>
      <c r="X507" s="562"/>
      <c r="Y507" s="562"/>
      <c r="Z507" s="562"/>
      <c r="AA507" s="562"/>
      <c r="AB507" s="562"/>
      <c r="AC507" s="562"/>
      <c r="AD507" s="562"/>
      <c r="AE507" s="562"/>
      <c r="AF507" s="562"/>
      <c r="AG507" s="562"/>
      <c r="AH507" s="562"/>
      <c r="AI507" s="562"/>
      <c r="AJ507" s="562"/>
      <c r="AK507" s="562"/>
      <c r="AL507" s="562"/>
      <c r="AM507" s="562"/>
      <c r="AN507" s="562"/>
      <c r="AO507" s="562"/>
      <c r="AP507" s="562"/>
      <c r="AQ507" s="562"/>
      <c r="AR507" s="562"/>
      <c r="AS507" s="562"/>
      <c r="AT507" s="562"/>
      <c r="AU507" s="562"/>
      <c r="AV507" s="562"/>
      <c r="AW507" s="562"/>
      <c r="AX507" s="562"/>
      <c r="AY507" s="562"/>
      <c r="AZ507" s="562"/>
      <c r="BA507" s="562"/>
      <c r="BB507" s="562"/>
      <c r="BC507" s="562"/>
      <c r="BD507" s="562"/>
      <c r="BE507" s="562"/>
      <c r="BF507" s="562"/>
      <c r="BG507" s="562"/>
      <c r="BH507" s="562"/>
      <c r="CA507" s="559"/>
      <c r="CB507" s="559"/>
      <c r="CC507" s="559"/>
      <c r="CD507" s="559"/>
    </row>
    <row r="508" spans="1:82" s="550" customFormat="1" x14ac:dyDescent="0.2">
      <c r="A508" s="367"/>
      <c r="B508" s="560"/>
      <c r="C508" s="561"/>
      <c r="D508" s="562"/>
      <c r="E508" s="368"/>
      <c r="F508" s="361"/>
      <c r="G508" s="562"/>
      <c r="H508" s="562"/>
      <c r="I508" s="562"/>
      <c r="J508" s="562"/>
      <c r="K508" s="562"/>
      <c r="L508" s="562"/>
      <c r="M508" s="562"/>
      <c r="N508" s="562"/>
      <c r="O508" s="562"/>
      <c r="P508" s="562"/>
      <c r="Q508" s="562"/>
      <c r="R508" s="562"/>
      <c r="S508" s="562"/>
      <c r="T508" s="562"/>
      <c r="U508" s="562"/>
      <c r="V508" s="562"/>
      <c r="W508" s="562"/>
      <c r="X508" s="562"/>
      <c r="Y508" s="562"/>
      <c r="Z508" s="562"/>
      <c r="AA508" s="562"/>
      <c r="AB508" s="562"/>
      <c r="AC508" s="562"/>
      <c r="AD508" s="562"/>
      <c r="AE508" s="562"/>
      <c r="AF508" s="562"/>
      <c r="AG508" s="562"/>
      <c r="AH508" s="562"/>
      <c r="AI508" s="562"/>
      <c r="AJ508" s="562"/>
      <c r="AK508" s="562"/>
      <c r="AL508" s="562"/>
      <c r="AM508" s="562"/>
      <c r="AN508" s="562"/>
      <c r="AO508" s="562"/>
      <c r="AP508" s="562"/>
      <c r="AQ508" s="562"/>
      <c r="AR508" s="562"/>
      <c r="AS508" s="562"/>
      <c r="AT508" s="562"/>
      <c r="AU508" s="562"/>
      <c r="AV508" s="562"/>
      <c r="AW508" s="562"/>
      <c r="AX508" s="562"/>
      <c r="AY508" s="562"/>
      <c r="AZ508" s="562"/>
      <c r="BA508" s="562"/>
      <c r="BB508" s="562"/>
      <c r="BC508" s="562"/>
      <c r="BD508" s="562"/>
      <c r="BE508" s="562"/>
      <c r="BF508" s="562"/>
      <c r="BG508" s="562"/>
      <c r="BH508" s="562"/>
      <c r="CA508" s="559"/>
      <c r="CB508" s="559"/>
      <c r="CC508" s="559"/>
      <c r="CD508" s="559"/>
    </row>
    <row r="509" spans="1:82" s="550" customFormat="1" x14ac:dyDescent="0.2">
      <c r="A509" s="367"/>
      <c r="B509" s="560"/>
      <c r="C509" s="561"/>
      <c r="D509" s="562"/>
      <c r="E509" s="368"/>
      <c r="F509" s="361"/>
      <c r="G509" s="562"/>
      <c r="H509" s="562"/>
      <c r="I509" s="562"/>
      <c r="J509" s="562"/>
      <c r="K509" s="562"/>
      <c r="L509" s="562"/>
      <c r="M509" s="562"/>
      <c r="N509" s="562"/>
      <c r="O509" s="562"/>
      <c r="P509" s="562"/>
      <c r="Q509" s="562"/>
      <c r="R509" s="562"/>
      <c r="S509" s="562"/>
      <c r="T509" s="562"/>
      <c r="U509" s="562"/>
      <c r="V509" s="562"/>
      <c r="W509" s="562"/>
      <c r="X509" s="562"/>
      <c r="Y509" s="562"/>
      <c r="Z509" s="562"/>
      <c r="AA509" s="562"/>
      <c r="AB509" s="562"/>
      <c r="AC509" s="562"/>
      <c r="AD509" s="562"/>
      <c r="AE509" s="562"/>
      <c r="AF509" s="562"/>
      <c r="AG509" s="562"/>
      <c r="AH509" s="562"/>
      <c r="AI509" s="562"/>
      <c r="AJ509" s="562"/>
      <c r="AK509" s="562"/>
      <c r="AL509" s="562"/>
      <c r="AM509" s="562"/>
      <c r="AN509" s="562"/>
      <c r="AO509" s="562"/>
      <c r="AP509" s="562"/>
      <c r="AQ509" s="562"/>
      <c r="AR509" s="562"/>
      <c r="AS509" s="562"/>
      <c r="AT509" s="562"/>
      <c r="AU509" s="562"/>
      <c r="AV509" s="562"/>
      <c r="AW509" s="562"/>
      <c r="AX509" s="562"/>
      <c r="AY509" s="562"/>
      <c r="AZ509" s="562"/>
      <c r="BA509" s="562"/>
      <c r="BB509" s="562"/>
      <c r="BC509" s="562"/>
      <c r="BD509" s="562"/>
      <c r="BE509" s="562"/>
      <c r="BF509" s="562"/>
      <c r="BG509" s="562"/>
      <c r="BH509" s="562"/>
      <c r="CA509" s="559"/>
      <c r="CB509" s="559"/>
      <c r="CC509" s="559"/>
      <c r="CD509" s="559"/>
    </row>
    <row r="510" spans="1:82" s="550" customFormat="1" x14ac:dyDescent="0.2">
      <c r="A510" s="367"/>
      <c r="B510" s="560"/>
      <c r="C510" s="561"/>
      <c r="D510" s="562"/>
      <c r="E510" s="368"/>
      <c r="F510" s="361"/>
      <c r="G510" s="562"/>
      <c r="H510" s="562"/>
      <c r="I510" s="562"/>
      <c r="J510" s="562"/>
      <c r="K510" s="562"/>
      <c r="L510" s="562"/>
      <c r="M510" s="562"/>
      <c r="N510" s="562"/>
      <c r="O510" s="562"/>
      <c r="P510" s="562"/>
      <c r="Q510" s="562"/>
      <c r="R510" s="562"/>
      <c r="S510" s="562"/>
      <c r="T510" s="562"/>
      <c r="U510" s="562"/>
      <c r="V510" s="562"/>
      <c r="W510" s="562"/>
      <c r="X510" s="562"/>
      <c r="Y510" s="562"/>
      <c r="Z510" s="562"/>
      <c r="AA510" s="562"/>
      <c r="AB510" s="562"/>
      <c r="AC510" s="562"/>
      <c r="AD510" s="562"/>
      <c r="AE510" s="562"/>
      <c r="AF510" s="562"/>
      <c r="AG510" s="562"/>
      <c r="AH510" s="562"/>
      <c r="AI510" s="562"/>
      <c r="AJ510" s="562"/>
      <c r="AK510" s="562"/>
      <c r="AL510" s="562"/>
      <c r="AM510" s="562"/>
      <c r="AN510" s="562"/>
      <c r="AO510" s="562"/>
      <c r="AP510" s="562"/>
      <c r="AQ510" s="562"/>
      <c r="AR510" s="562"/>
      <c r="AS510" s="562"/>
      <c r="AT510" s="562"/>
      <c r="AU510" s="562"/>
      <c r="AV510" s="562"/>
      <c r="AW510" s="562"/>
      <c r="AX510" s="562"/>
      <c r="AY510" s="562"/>
      <c r="AZ510" s="562"/>
      <c r="BA510" s="562"/>
      <c r="BB510" s="562"/>
      <c r="BC510" s="562"/>
      <c r="BD510" s="562"/>
      <c r="BE510" s="562"/>
      <c r="BF510" s="562"/>
      <c r="BG510" s="562"/>
      <c r="BH510" s="562"/>
      <c r="CA510" s="559"/>
      <c r="CB510" s="559"/>
      <c r="CC510" s="559"/>
      <c r="CD510" s="559"/>
    </row>
    <row r="511" spans="1:82" s="550" customFormat="1" x14ac:dyDescent="0.2">
      <c r="A511" s="367"/>
      <c r="B511" s="560"/>
      <c r="C511" s="561"/>
      <c r="D511" s="562"/>
      <c r="E511" s="368"/>
      <c r="F511" s="361"/>
      <c r="G511" s="562"/>
      <c r="H511" s="562"/>
      <c r="I511" s="562"/>
      <c r="J511" s="562"/>
      <c r="K511" s="562"/>
      <c r="L511" s="562"/>
      <c r="M511" s="562"/>
      <c r="N511" s="562"/>
      <c r="O511" s="562"/>
      <c r="P511" s="562"/>
      <c r="Q511" s="562"/>
      <c r="R511" s="562"/>
      <c r="S511" s="562"/>
      <c r="T511" s="562"/>
      <c r="U511" s="562"/>
      <c r="V511" s="562"/>
      <c r="W511" s="562"/>
      <c r="X511" s="562"/>
      <c r="Y511" s="562"/>
      <c r="Z511" s="562"/>
      <c r="AA511" s="562"/>
      <c r="AB511" s="562"/>
      <c r="AC511" s="562"/>
      <c r="AD511" s="562"/>
      <c r="AE511" s="562"/>
      <c r="AF511" s="562"/>
      <c r="AG511" s="562"/>
      <c r="AH511" s="562"/>
      <c r="AI511" s="562"/>
      <c r="AJ511" s="562"/>
      <c r="AK511" s="562"/>
      <c r="AL511" s="562"/>
      <c r="AM511" s="562"/>
      <c r="AN511" s="562"/>
      <c r="AO511" s="562"/>
      <c r="AP511" s="562"/>
      <c r="AQ511" s="562"/>
      <c r="AR511" s="562"/>
      <c r="AS511" s="562"/>
      <c r="AT511" s="562"/>
      <c r="AU511" s="562"/>
      <c r="AV511" s="562"/>
      <c r="AW511" s="562"/>
      <c r="AX511" s="562"/>
      <c r="AY511" s="562"/>
      <c r="AZ511" s="562"/>
      <c r="BA511" s="562"/>
      <c r="BB511" s="562"/>
      <c r="BC511" s="562"/>
      <c r="BD511" s="562"/>
      <c r="BE511" s="562"/>
      <c r="BF511" s="562"/>
      <c r="BG511" s="562"/>
      <c r="BH511" s="562"/>
      <c r="CA511" s="559"/>
      <c r="CB511" s="559"/>
      <c r="CC511" s="559"/>
      <c r="CD511" s="559"/>
    </row>
    <row r="512" spans="1:82" s="550" customFormat="1" x14ac:dyDescent="0.2">
      <c r="A512" s="367"/>
      <c r="B512" s="560"/>
      <c r="C512" s="561"/>
      <c r="D512" s="562"/>
      <c r="E512" s="368"/>
      <c r="F512" s="361"/>
      <c r="G512" s="562"/>
      <c r="H512" s="562"/>
      <c r="I512" s="562"/>
      <c r="J512" s="562"/>
      <c r="K512" s="562"/>
      <c r="L512" s="562"/>
      <c r="M512" s="562"/>
      <c r="N512" s="562"/>
      <c r="O512" s="562"/>
      <c r="P512" s="562"/>
      <c r="Q512" s="562"/>
      <c r="R512" s="562"/>
      <c r="S512" s="562"/>
      <c r="T512" s="562"/>
      <c r="U512" s="562"/>
      <c r="V512" s="562"/>
      <c r="W512" s="562"/>
      <c r="X512" s="562"/>
      <c r="Y512" s="562"/>
      <c r="Z512" s="562"/>
      <c r="AA512" s="562"/>
      <c r="AB512" s="562"/>
      <c r="AC512" s="562"/>
      <c r="AD512" s="562"/>
      <c r="AE512" s="562"/>
      <c r="AF512" s="562"/>
      <c r="AG512" s="562"/>
      <c r="AH512" s="562"/>
      <c r="AI512" s="562"/>
      <c r="AJ512" s="562"/>
      <c r="AK512" s="562"/>
      <c r="AL512" s="562"/>
      <c r="AM512" s="562"/>
      <c r="AN512" s="562"/>
      <c r="AO512" s="562"/>
      <c r="AP512" s="562"/>
      <c r="AQ512" s="562"/>
      <c r="AR512" s="562"/>
      <c r="AS512" s="562"/>
      <c r="AT512" s="562"/>
      <c r="AU512" s="562"/>
      <c r="AV512" s="562"/>
      <c r="AW512" s="562"/>
      <c r="AX512" s="562"/>
      <c r="AY512" s="562"/>
      <c r="AZ512" s="562"/>
      <c r="BA512" s="562"/>
      <c r="BB512" s="562"/>
      <c r="BC512" s="562"/>
      <c r="BD512" s="562"/>
      <c r="BE512" s="562"/>
      <c r="BF512" s="562"/>
      <c r="BG512" s="562"/>
      <c r="BH512" s="562"/>
      <c r="CA512" s="559"/>
      <c r="CB512" s="559"/>
      <c r="CC512" s="559"/>
      <c r="CD512" s="559"/>
    </row>
    <row r="513" spans="1:82" s="550" customFormat="1" x14ac:dyDescent="0.2">
      <c r="A513" s="367"/>
      <c r="B513" s="560"/>
      <c r="C513" s="561"/>
      <c r="D513" s="562"/>
      <c r="E513" s="368"/>
      <c r="F513" s="361"/>
      <c r="G513" s="562"/>
      <c r="H513" s="562"/>
      <c r="I513" s="562"/>
      <c r="J513" s="562"/>
      <c r="K513" s="562"/>
      <c r="L513" s="562"/>
      <c r="M513" s="562"/>
      <c r="N513" s="562"/>
      <c r="O513" s="562"/>
      <c r="P513" s="562"/>
      <c r="Q513" s="562"/>
      <c r="R513" s="562"/>
      <c r="S513" s="562"/>
      <c r="T513" s="562"/>
      <c r="U513" s="562"/>
      <c r="V513" s="562"/>
      <c r="W513" s="562"/>
      <c r="X513" s="562"/>
      <c r="Y513" s="562"/>
      <c r="Z513" s="562"/>
      <c r="AA513" s="562"/>
      <c r="AB513" s="562"/>
      <c r="AC513" s="562"/>
      <c r="AD513" s="562"/>
      <c r="AE513" s="562"/>
      <c r="AF513" s="562"/>
      <c r="AG513" s="562"/>
      <c r="AH513" s="562"/>
      <c r="AI513" s="562"/>
      <c r="AJ513" s="562"/>
      <c r="AK513" s="562"/>
      <c r="AL513" s="562"/>
      <c r="AM513" s="562"/>
      <c r="AN513" s="562"/>
      <c r="AO513" s="562"/>
      <c r="AP513" s="562"/>
      <c r="AQ513" s="562"/>
      <c r="AR513" s="562"/>
      <c r="AS513" s="562"/>
      <c r="AT513" s="562"/>
      <c r="AU513" s="562"/>
      <c r="AV513" s="562"/>
      <c r="AW513" s="562"/>
      <c r="AX513" s="562"/>
      <c r="AY513" s="562"/>
      <c r="AZ513" s="562"/>
      <c r="BA513" s="562"/>
      <c r="BB513" s="562"/>
      <c r="BC513" s="562"/>
      <c r="BD513" s="562"/>
      <c r="BE513" s="562"/>
      <c r="BF513" s="562"/>
      <c r="BG513" s="562"/>
      <c r="BH513" s="562"/>
      <c r="CA513" s="559"/>
      <c r="CB513" s="559"/>
      <c r="CC513" s="559"/>
      <c r="CD513" s="559"/>
    </row>
    <row r="514" spans="1:82" s="550" customFormat="1" x14ac:dyDescent="0.2">
      <c r="A514" s="367"/>
      <c r="B514" s="560"/>
      <c r="C514" s="561"/>
      <c r="D514" s="562"/>
      <c r="E514" s="368"/>
      <c r="F514" s="361"/>
      <c r="G514" s="562"/>
      <c r="H514" s="562"/>
      <c r="I514" s="562"/>
      <c r="J514" s="562"/>
      <c r="K514" s="562"/>
      <c r="L514" s="562"/>
      <c r="M514" s="562"/>
      <c r="N514" s="562"/>
      <c r="O514" s="562"/>
      <c r="P514" s="562"/>
      <c r="Q514" s="562"/>
      <c r="R514" s="562"/>
      <c r="S514" s="562"/>
      <c r="T514" s="562"/>
      <c r="U514" s="562"/>
      <c r="V514" s="562"/>
      <c r="W514" s="562"/>
      <c r="X514" s="562"/>
      <c r="Y514" s="562"/>
      <c r="Z514" s="562"/>
      <c r="AA514" s="562"/>
      <c r="AB514" s="562"/>
      <c r="AC514" s="562"/>
      <c r="AD514" s="562"/>
      <c r="AE514" s="562"/>
      <c r="AF514" s="562"/>
      <c r="AG514" s="562"/>
      <c r="AH514" s="562"/>
      <c r="AI514" s="562"/>
      <c r="AJ514" s="562"/>
      <c r="AK514" s="562"/>
      <c r="AL514" s="562"/>
      <c r="AM514" s="562"/>
      <c r="AN514" s="562"/>
      <c r="AO514" s="562"/>
      <c r="AP514" s="562"/>
      <c r="AQ514" s="562"/>
      <c r="AR514" s="562"/>
      <c r="AS514" s="562"/>
      <c r="AT514" s="562"/>
      <c r="AU514" s="562"/>
      <c r="AV514" s="562"/>
      <c r="AW514" s="562"/>
      <c r="AX514" s="562"/>
      <c r="AY514" s="562"/>
      <c r="AZ514" s="562"/>
      <c r="BA514" s="562"/>
      <c r="BB514" s="562"/>
      <c r="BC514" s="562"/>
      <c r="BD514" s="562"/>
      <c r="BE514" s="562"/>
      <c r="BF514" s="562"/>
      <c r="BG514" s="562"/>
      <c r="BH514" s="562"/>
      <c r="CA514" s="559"/>
      <c r="CB514" s="559"/>
      <c r="CC514" s="559"/>
      <c r="CD514" s="559"/>
    </row>
    <row r="515" spans="1:82" s="550" customFormat="1" x14ac:dyDescent="0.2">
      <c r="A515" s="367"/>
      <c r="B515" s="560"/>
      <c r="C515" s="561"/>
      <c r="D515" s="562"/>
      <c r="E515" s="368"/>
      <c r="F515" s="361"/>
      <c r="G515" s="562"/>
      <c r="H515" s="562"/>
      <c r="I515" s="562"/>
      <c r="J515" s="562"/>
      <c r="K515" s="562"/>
      <c r="L515" s="562"/>
      <c r="M515" s="562"/>
      <c r="N515" s="562"/>
      <c r="O515" s="562"/>
      <c r="P515" s="562"/>
      <c r="Q515" s="562"/>
      <c r="R515" s="562"/>
      <c r="S515" s="562"/>
      <c r="T515" s="562"/>
      <c r="U515" s="562"/>
      <c r="V515" s="562"/>
      <c r="W515" s="562"/>
      <c r="X515" s="562"/>
      <c r="Y515" s="562"/>
      <c r="Z515" s="562"/>
      <c r="AA515" s="562"/>
      <c r="AB515" s="562"/>
      <c r="AC515" s="562"/>
      <c r="AD515" s="562"/>
      <c r="AE515" s="562"/>
      <c r="AF515" s="562"/>
      <c r="AG515" s="562"/>
      <c r="AH515" s="562"/>
      <c r="AI515" s="562"/>
      <c r="AJ515" s="562"/>
      <c r="AK515" s="562"/>
      <c r="AL515" s="562"/>
      <c r="AM515" s="562"/>
      <c r="AN515" s="562"/>
      <c r="AO515" s="562"/>
      <c r="AP515" s="562"/>
      <c r="AQ515" s="562"/>
      <c r="AR515" s="562"/>
      <c r="AS515" s="562"/>
      <c r="AT515" s="562"/>
      <c r="AU515" s="562"/>
      <c r="AV515" s="562"/>
      <c r="AW515" s="562"/>
      <c r="AX515" s="562"/>
      <c r="AY515" s="562"/>
      <c r="AZ515" s="562"/>
      <c r="BA515" s="562"/>
      <c r="BB515" s="562"/>
      <c r="BC515" s="562"/>
      <c r="BD515" s="562"/>
      <c r="BE515" s="562"/>
      <c r="BF515" s="562"/>
      <c r="BG515" s="562"/>
      <c r="BH515" s="562"/>
      <c r="CA515" s="559"/>
      <c r="CB515" s="559"/>
      <c r="CC515" s="559"/>
      <c r="CD515" s="559"/>
    </row>
  </sheetData>
  <autoFilter ref="A1:CD454">
    <filterColumn colId="6" showButton="0"/>
    <filterColumn colId="7" showButton="0"/>
    <filterColumn colId="9" showButton="0"/>
    <filterColumn colId="10" showButton="0"/>
    <filterColumn colId="12" showButton="0"/>
    <filterColumn colId="13" showButton="0"/>
    <filterColumn colId="15" showButton="0"/>
    <filterColumn colId="16" showButton="0"/>
    <filterColumn colId="18" showButton="0"/>
    <filterColumn colId="19" showButton="0"/>
    <filterColumn colId="21" showButton="0"/>
    <filterColumn colId="22" showButton="0"/>
    <filterColumn colId="24" showButton="0"/>
    <filterColumn colId="25" showButton="0"/>
    <filterColumn colId="27" showButton="0"/>
    <filterColumn colId="28" showButton="0"/>
    <filterColumn colId="30" showButton="0"/>
    <filterColumn colId="31" showButton="0"/>
    <filterColumn colId="33" showButton="0"/>
    <filterColumn colId="34" showButton="0"/>
    <filterColumn colId="36" showButton="0"/>
    <filterColumn colId="37" showButton="0"/>
    <filterColumn colId="39" showButton="0"/>
    <filterColumn colId="40" showButton="0"/>
    <filterColumn colId="42" showButton="0"/>
    <filterColumn colId="43" showButton="0"/>
    <filterColumn colId="45" showButton="0"/>
    <filterColumn colId="46" showButton="0"/>
    <filterColumn colId="48" showButton="0"/>
    <filterColumn colId="49" showButton="0"/>
    <filterColumn colId="51" showButton="0"/>
    <filterColumn colId="52" showButton="0"/>
    <filterColumn colId="54" showButton="0"/>
    <filterColumn colId="55" showButton="0"/>
    <filterColumn colId="57" showButton="0"/>
    <filterColumn colId="58" showButton="0"/>
  </autoFilter>
  <mergeCells count="549">
    <mergeCell ref="BZ461:BZ467"/>
    <mergeCell ref="CA461:CA467"/>
    <mergeCell ref="CD461:CD466"/>
    <mergeCell ref="E462:E465"/>
    <mergeCell ref="A468:E468"/>
    <mergeCell ref="BT461:BT467"/>
    <mergeCell ref="BU461:BU467"/>
    <mergeCell ref="BV461:BV467"/>
    <mergeCell ref="BW461:BW467"/>
    <mergeCell ref="BX461:BX467"/>
    <mergeCell ref="BY461:BY462"/>
    <mergeCell ref="BN461:BN467"/>
    <mergeCell ref="BO461:BO467"/>
    <mergeCell ref="BP461:BP462"/>
    <mergeCell ref="BQ461:BQ467"/>
    <mergeCell ref="BR461:BR467"/>
    <mergeCell ref="BS461:BS467"/>
    <mergeCell ref="A461:A466"/>
    <mergeCell ref="BI461:BI467"/>
    <mergeCell ref="BJ461:BJ467"/>
    <mergeCell ref="BK461:BK467"/>
    <mergeCell ref="BL461:BL467"/>
    <mergeCell ref="BM461:BM467"/>
    <mergeCell ref="AH459:AJ459"/>
    <mergeCell ref="AK459:AM459"/>
    <mergeCell ref="AN459:AP459"/>
    <mergeCell ref="AQ459:AS459"/>
    <mergeCell ref="AT459:AV459"/>
    <mergeCell ref="AW459:AY459"/>
    <mergeCell ref="CD458:CD460"/>
    <mergeCell ref="G459:I459"/>
    <mergeCell ref="J459:L459"/>
    <mergeCell ref="M459:O459"/>
    <mergeCell ref="P459:R459"/>
    <mergeCell ref="S459:U459"/>
    <mergeCell ref="V459:X459"/>
    <mergeCell ref="Y459:AA459"/>
    <mergeCell ref="AB459:AD459"/>
    <mergeCell ref="AE459:AG459"/>
    <mergeCell ref="BW458:BW460"/>
    <mergeCell ref="BX458:BX460"/>
    <mergeCell ref="BY458:BY460"/>
    <mergeCell ref="BZ458:BZ460"/>
    <mergeCell ref="CA458:CA460"/>
    <mergeCell ref="CC458:CC460"/>
    <mergeCell ref="BQ458:BQ460"/>
    <mergeCell ref="BR458:BR460"/>
    <mergeCell ref="BS458:BS460"/>
    <mergeCell ref="BT458:BT460"/>
    <mergeCell ref="BU458:BU460"/>
    <mergeCell ref="BV458:BV460"/>
    <mergeCell ref="BK458:BK460"/>
    <mergeCell ref="BL458:BL460"/>
    <mergeCell ref="BM458:BM460"/>
    <mergeCell ref="BN458:BN460"/>
    <mergeCell ref="BO458:BO460"/>
    <mergeCell ref="BP458:BP460"/>
    <mergeCell ref="AW458:AY458"/>
    <mergeCell ref="AZ458:BB458"/>
    <mergeCell ref="BC458:BE458"/>
    <mergeCell ref="BF458:BH458"/>
    <mergeCell ref="BI458:BI460"/>
    <mergeCell ref="BJ458:BJ460"/>
    <mergeCell ref="AZ459:BB459"/>
    <mergeCell ref="BC459:BE459"/>
    <mergeCell ref="BF459:BH459"/>
    <mergeCell ref="AK458:AM458"/>
    <mergeCell ref="AN458:AP458"/>
    <mergeCell ref="AQ458:AS458"/>
    <mergeCell ref="AT458:AV458"/>
    <mergeCell ref="M458:O458"/>
    <mergeCell ref="P458:R458"/>
    <mergeCell ref="S458:U458"/>
    <mergeCell ref="V458:X458"/>
    <mergeCell ref="Y458:AA458"/>
    <mergeCell ref="AB458:AD458"/>
    <mergeCell ref="CD449:CD451"/>
    <mergeCell ref="A453:D453"/>
    <mergeCell ref="A458:A460"/>
    <mergeCell ref="B458:B460"/>
    <mergeCell ref="C458:C460"/>
    <mergeCell ref="D458:D460"/>
    <mergeCell ref="E458:E460"/>
    <mergeCell ref="F458:F460"/>
    <mergeCell ref="G458:I458"/>
    <mergeCell ref="J458:L458"/>
    <mergeCell ref="BU449:BU451"/>
    <mergeCell ref="BV449:BV451"/>
    <mergeCell ref="BW449:BW451"/>
    <mergeCell ref="BX449:BX451"/>
    <mergeCell ref="BZ449:BZ451"/>
    <mergeCell ref="CA449:CA451"/>
    <mergeCell ref="BO449:BO451"/>
    <mergeCell ref="BP449:BP450"/>
    <mergeCell ref="BQ449:BQ451"/>
    <mergeCell ref="BR449:BR451"/>
    <mergeCell ref="BS449:BS451"/>
    <mergeCell ref="BT449:BT451"/>
    <mergeCell ref="AE458:AG458"/>
    <mergeCell ref="AH458:AJ458"/>
    <mergeCell ref="BW427:BW448"/>
    <mergeCell ref="BX427:BX448"/>
    <mergeCell ref="BY427:BY445"/>
    <mergeCell ref="BZ427:BZ448"/>
    <mergeCell ref="CA427:CA448"/>
    <mergeCell ref="BP427:BP445"/>
    <mergeCell ref="BQ427:BQ448"/>
    <mergeCell ref="BR427:BR448"/>
    <mergeCell ref="BS427:BS446"/>
    <mergeCell ref="BT427:BT448"/>
    <mergeCell ref="BU427:BU448"/>
    <mergeCell ref="A449:A451"/>
    <mergeCell ref="E449:E451"/>
    <mergeCell ref="BI449:BI451"/>
    <mergeCell ref="BJ449:BJ451"/>
    <mergeCell ref="BK449:BK451"/>
    <mergeCell ref="BL449:BL451"/>
    <mergeCell ref="BM449:BM451"/>
    <mergeCell ref="BN449:BN451"/>
    <mergeCell ref="BV427:BV448"/>
    <mergeCell ref="CD415:CD426"/>
    <mergeCell ref="A427:A448"/>
    <mergeCell ref="E427:E442"/>
    <mergeCell ref="BI427:BI448"/>
    <mergeCell ref="BJ427:BJ446"/>
    <mergeCell ref="BK427:BK448"/>
    <mergeCell ref="BL427:BL446"/>
    <mergeCell ref="BM427:BM448"/>
    <mergeCell ref="BN427:BN448"/>
    <mergeCell ref="BO427:BO448"/>
    <mergeCell ref="BU415:BU425"/>
    <mergeCell ref="BV415:BV425"/>
    <mergeCell ref="BW415:BW425"/>
    <mergeCell ref="BX415:BX426"/>
    <mergeCell ref="BZ415:BZ426"/>
    <mergeCell ref="CA415:CA426"/>
    <mergeCell ref="BN415:BN425"/>
    <mergeCell ref="BO415:BO426"/>
    <mergeCell ref="BQ415:BQ426"/>
    <mergeCell ref="BR415:BR426"/>
    <mergeCell ref="BS415:BS425"/>
    <mergeCell ref="BT415:BT425"/>
    <mergeCell ref="CD427:CD448"/>
    <mergeCell ref="E443:E447"/>
    <mergeCell ref="BU395:BU414"/>
    <mergeCell ref="BV395:BV414"/>
    <mergeCell ref="BW395:BW414"/>
    <mergeCell ref="BX395:BX414"/>
    <mergeCell ref="BM395:BM414"/>
    <mergeCell ref="BN395:BN414"/>
    <mergeCell ref="BO395:BO414"/>
    <mergeCell ref="BP395:BP409"/>
    <mergeCell ref="BQ395:BQ414"/>
    <mergeCell ref="BR395:BR414"/>
    <mergeCell ref="A415:A426"/>
    <mergeCell ref="E415:E426"/>
    <mergeCell ref="BI415:BI426"/>
    <mergeCell ref="BJ415:BJ425"/>
    <mergeCell ref="BK415:BK425"/>
    <mergeCell ref="BL415:BL425"/>
    <mergeCell ref="BM415:BM425"/>
    <mergeCell ref="BS395:BS414"/>
    <mergeCell ref="BT395:BT414"/>
    <mergeCell ref="CD377:CD394"/>
    <mergeCell ref="A395:A414"/>
    <mergeCell ref="E395:E414"/>
    <mergeCell ref="BI395:BI414"/>
    <mergeCell ref="BJ395:BJ414"/>
    <mergeCell ref="BK395:BK414"/>
    <mergeCell ref="BL395:BL414"/>
    <mergeCell ref="BS377:BS392"/>
    <mergeCell ref="BT377:BT394"/>
    <mergeCell ref="BU377:BU394"/>
    <mergeCell ref="BV377:BV394"/>
    <mergeCell ref="BW377:BW394"/>
    <mergeCell ref="BX377:BX394"/>
    <mergeCell ref="BM377:BM394"/>
    <mergeCell ref="BN377:BN394"/>
    <mergeCell ref="BO377:BO394"/>
    <mergeCell ref="BP377:BP381"/>
    <mergeCell ref="BQ377:BQ394"/>
    <mergeCell ref="BR377:BR394"/>
    <mergeCell ref="A377:A394"/>
    <mergeCell ref="E377:E394"/>
    <mergeCell ref="BZ395:BZ414"/>
    <mergeCell ref="CA395:CA414"/>
    <mergeCell ref="CD395:CD414"/>
    <mergeCell ref="CD363:CD376"/>
    <mergeCell ref="E364:E366"/>
    <mergeCell ref="E367:E370"/>
    <mergeCell ref="BP368:BP375"/>
    <mergeCell ref="BY368:BY375"/>
    <mergeCell ref="E371:E376"/>
    <mergeCell ref="BT363:BT376"/>
    <mergeCell ref="BU363:BU376"/>
    <mergeCell ref="BV363:BV376"/>
    <mergeCell ref="BW363:BW376"/>
    <mergeCell ref="BX363:BX376"/>
    <mergeCell ref="BY363:BY367"/>
    <mergeCell ref="BN363:BN376"/>
    <mergeCell ref="BO363:BO376"/>
    <mergeCell ref="BP363:BP367"/>
    <mergeCell ref="BQ363:BQ376"/>
    <mergeCell ref="BR363:BR376"/>
    <mergeCell ref="BS363:BS376"/>
    <mergeCell ref="BW325:BW362"/>
    <mergeCell ref="BX325:BX362"/>
    <mergeCell ref="BZ325:BZ362"/>
    <mergeCell ref="BI377:BI394"/>
    <mergeCell ref="BJ377:BJ392"/>
    <mergeCell ref="BK377:BK394"/>
    <mergeCell ref="BL377:BL392"/>
    <mergeCell ref="BZ363:BZ376"/>
    <mergeCell ref="CA363:CA376"/>
    <mergeCell ref="BY377:BY381"/>
    <mergeCell ref="BZ377:BZ394"/>
    <mergeCell ref="CA377:CA394"/>
    <mergeCell ref="E355:E359"/>
    <mergeCell ref="E360:E361"/>
    <mergeCell ref="BQ325:BQ362"/>
    <mergeCell ref="BR325:BR362"/>
    <mergeCell ref="BS325:BS362"/>
    <mergeCell ref="BT325:BT362"/>
    <mergeCell ref="BU325:BU362"/>
    <mergeCell ref="BV325:BV362"/>
    <mergeCell ref="A363:A376"/>
    <mergeCell ref="BI363:BI376"/>
    <mergeCell ref="BJ363:BJ376"/>
    <mergeCell ref="BK363:BK376"/>
    <mergeCell ref="BL363:BL376"/>
    <mergeCell ref="BM363:BM376"/>
    <mergeCell ref="CD305:CD324"/>
    <mergeCell ref="A325:A362"/>
    <mergeCell ref="E325:E354"/>
    <mergeCell ref="BI325:BI362"/>
    <mergeCell ref="BJ325:BJ362"/>
    <mergeCell ref="BK325:BK362"/>
    <mergeCell ref="BL325:BL362"/>
    <mergeCell ref="BM325:BM362"/>
    <mergeCell ref="BN325:BN362"/>
    <mergeCell ref="BO325:BO362"/>
    <mergeCell ref="BV305:BV324"/>
    <mergeCell ref="BW305:BW324"/>
    <mergeCell ref="BX305:BX324"/>
    <mergeCell ref="BY305:BY324"/>
    <mergeCell ref="BZ305:BZ324"/>
    <mergeCell ref="CA305:CA324"/>
    <mergeCell ref="BP305:BP324"/>
    <mergeCell ref="BQ305:BQ324"/>
    <mergeCell ref="BR305:BR324"/>
    <mergeCell ref="BS305:BS324"/>
    <mergeCell ref="BT305:BT324"/>
    <mergeCell ref="BU305:BU324"/>
    <mergeCell ref="CA325:CA362"/>
    <mergeCell ref="CD325:CD362"/>
    <mergeCell ref="BX300:BX304"/>
    <mergeCell ref="BZ300:BZ304"/>
    <mergeCell ref="CA300:CA304"/>
    <mergeCell ref="BN300:BN304"/>
    <mergeCell ref="BO300:BO304"/>
    <mergeCell ref="BQ300:BQ304"/>
    <mergeCell ref="BR300:BR304"/>
    <mergeCell ref="BS300:BS304"/>
    <mergeCell ref="BT300:BT304"/>
    <mergeCell ref="A305:A324"/>
    <mergeCell ref="E305:E324"/>
    <mergeCell ref="BI305:BI324"/>
    <mergeCell ref="BJ305:BJ324"/>
    <mergeCell ref="BK305:BK324"/>
    <mergeCell ref="BL305:BL324"/>
    <mergeCell ref="BM305:BM324"/>
    <mergeCell ref="BN305:BN324"/>
    <mergeCell ref="BO305:BO324"/>
    <mergeCell ref="CD298:CD299"/>
    <mergeCell ref="A300:A304"/>
    <mergeCell ref="E300:E304"/>
    <mergeCell ref="BI300:BI304"/>
    <mergeCell ref="BJ300:BJ304"/>
    <mergeCell ref="BK300:BK304"/>
    <mergeCell ref="BL300:BL304"/>
    <mergeCell ref="BM300:BM304"/>
    <mergeCell ref="BT298:BT299"/>
    <mergeCell ref="BU298:BU299"/>
    <mergeCell ref="BV298:BV299"/>
    <mergeCell ref="BW298:BW299"/>
    <mergeCell ref="BX298:BX299"/>
    <mergeCell ref="BY298:BY299"/>
    <mergeCell ref="BN298:BN299"/>
    <mergeCell ref="BO298:BO299"/>
    <mergeCell ref="BP298:BP299"/>
    <mergeCell ref="BQ298:BQ299"/>
    <mergeCell ref="BR298:BR299"/>
    <mergeCell ref="BS298:BS299"/>
    <mergeCell ref="CD300:CD304"/>
    <mergeCell ref="BU300:BU304"/>
    <mergeCell ref="BV300:BV304"/>
    <mergeCell ref="BW300:BW304"/>
    <mergeCell ref="BZ168:BZ297"/>
    <mergeCell ref="CA168:CA297"/>
    <mergeCell ref="CD168:CD297"/>
    <mergeCell ref="A298:A299"/>
    <mergeCell ref="E298:E299"/>
    <mergeCell ref="BI298:BI299"/>
    <mergeCell ref="BJ298:BJ299"/>
    <mergeCell ref="BK298:BK299"/>
    <mergeCell ref="BL298:BL299"/>
    <mergeCell ref="BM298:BM299"/>
    <mergeCell ref="BT168:BT297"/>
    <mergeCell ref="BU168:BU297"/>
    <mergeCell ref="BV168:BV297"/>
    <mergeCell ref="BW168:BW297"/>
    <mergeCell ref="BX168:BX297"/>
    <mergeCell ref="BY168:BY291"/>
    <mergeCell ref="BN168:BN297"/>
    <mergeCell ref="BO168:BO297"/>
    <mergeCell ref="BP168:BP291"/>
    <mergeCell ref="BQ168:BQ297"/>
    <mergeCell ref="BR168:BR297"/>
    <mergeCell ref="BS168:BS297"/>
    <mergeCell ref="BZ298:BZ299"/>
    <mergeCell ref="CA298:CA299"/>
    <mergeCell ref="BV156:BV167"/>
    <mergeCell ref="BW156:BW167"/>
    <mergeCell ref="BX156:BX167"/>
    <mergeCell ref="BM156:BM167"/>
    <mergeCell ref="BN156:BN167"/>
    <mergeCell ref="BO156:BO167"/>
    <mergeCell ref="BP156:BP163"/>
    <mergeCell ref="BQ156:BQ167"/>
    <mergeCell ref="BR156:BR167"/>
    <mergeCell ref="A168:A297"/>
    <mergeCell ref="BI168:BI297"/>
    <mergeCell ref="BJ168:BJ297"/>
    <mergeCell ref="BK168:BK297"/>
    <mergeCell ref="BL168:BL297"/>
    <mergeCell ref="BM168:BM297"/>
    <mergeCell ref="BS156:BS163"/>
    <mergeCell ref="BT156:BT167"/>
    <mergeCell ref="BU156:BU167"/>
    <mergeCell ref="CA143:CA155"/>
    <mergeCell ref="CD143:CD155"/>
    <mergeCell ref="A156:A167"/>
    <mergeCell ref="E156:E167"/>
    <mergeCell ref="BI156:BI167"/>
    <mergeCell ref="BJ156:BJ163"/>
    <mergeCell ref="BK156:BK167"/>
    <mergeCell ref="BL156:BL163"/>
    <mergeCell ref="BS143:BS152"/>
    <mergeCell ref="BT143:BT155"/>
    <mergeCell ref="BU143:BU155"/>
    <mergeCell ref="BV143:BV155"/>
    <mergeCell ref="BW143:BW155"/>
    <mergeCell ref="BX143:BX155"/>
    <mergeCell ref="BM143:BM155"/>
    <mergeCell ref="BN143:BN155"/>
    <mergeCell ref="BO143:BO155"/>
    <mergeCell ref="BP143:BP148"/>
    <mergeCell ref="BQ143:BQ155"/>
    <mergeCell ref="BR143:BR155"/>
    <mergeCell ref="BY156:BY163"/>
    <mergeCell ref="BZ156:BZ167"/>
    <mergeCell ref="CA156:CA167"/>
    <mergeCell ref="CD156:CD167"/>
    <mergeCell ref="BY140:BY141"/>
    <mergeCell ref="BZ140:BZ141"/>
    <mergeCell ref="CA140:CA141"/>
    <mergeCell ref="CD140:CD141"/>
    <mergeCell ref="A143:A155"/>
    <mergeCell ref="E143:E155"/>
    <mergeCell ref="BI143:BI155"/>
    <mergeCell ref="BJ143:BJ154"/>
    <mergeCell ref="BK143:BK155"/>
    <mergeCell ref="BL143:BL154"/>
    <mergeCell ref="BS140:BS141"/>
    <mergeCell ref="BT140:BT141"/>
    <mergeCell ref="BU140:BU141"/>
    <mergeCell ref="BV140:BV141"/>
    <mergeCell ref="BW140:BW141"/>
    <mergeCell ref="BX140:BX141"/>
    <mergeCell ref="BM140:BM141"/>
    <mergeCell ref="BN140:BN141"/>
    <mergeCell ref="BO140:BO141"/>
    <mergeCell ref="BP140:BP141"/>
    <mergeCell ref="BQ140:BQ141"/>
    <mergeCell ref="BR140:BR141"/>
    <mergeCell ref="BY143:BY148"/>
    <mergeCell ref="BZ143:BZ155"/>
    <mergeCell ref="BZ135:BZ139"/>
    <mergeCell ref="CA135:CA139"/>
    <mergeCell ref="CD135:CD139"/>
    <mergeCell ref="E136:E139"/>
    <mergeCell ref="A140:A141"/>
    <mergeCell ref="E140:E141"/>
    <mergeCell ref="BI140:BI141"/>
    <mergeCell ref="BJ140:BJ141"/>
    <mergeCell ref="BK140:BK141"/>
    <mergeCell ref="BL140:BL141"/>
    <mergeCell ref="BT135:BT139"/>
    <mergeCell ref="BU135:BU139"/>
    <mergeCell ref="BV135:BV139"/>
    <mergeCell ref="BW135:BW139"/>
    <mergeCell ref="BX135:BX139"/>
    <mergeCell ref="BY135:BY139"/>
    <mergeCell ref="BN135:BN139"/>
    <mergeCell ref="BO135:BO139"/>
    <mergeCell ref="BP135:BP139"/>
    <mergeCell ref="BQ135:BQ139"/>
    <mergeCell ref="BR135:BR139"/>
    <mergeCell ref="BS135:BS139"/>
    <mergeCell ref="A135:A139"/>
    <mergeCell ref="BI135:BI139"/>
    <mergeCell ref="BJ135:BJ139"/>
    <mergeCell ref="BK135:BK139"/>
    <mergeCell ref="BL135:BL139"/>
    <mergeCell ref="BM135:BM139"/>
    <mergeCell ref="BZ41:BZ134"/>
    <mergeCell ref="CA41:CA134"/>
    <mergeCell ref="CD41:CD134"/>
    <mergeCell ref="E47:E89"/>
    <mergeCell ref="E90:E109"/>
    <mergeCell ref="E110:E126"/>
    <mergeCell ref="E128:E129"/>
    <mergeCell ref="E130:E131"/>
    <mergeCell ref="BT41:BT131"/>
    <mergeCell ref="BU41:BU131"/>
    <mergeCell ref="BV41:BV131"/>
    <mergeCell ref="BW41:BW131"/>
    <mergeCell ref="BX41:BX134"/>
    <mergeCell ref="BY41:BY131"/>
    <mergeCell ref="BN41:BN131"/>
    <mergeCell ref="BO41:BO134"/>
    <mergeCell ref="BP41:BP131"/>
    <mergeCell ref="BQ41:BQ134"/>
    <mergeCell ref="BR41:BR134"/>
    <mergeCell ref="BS41:BS131"/>
    <mergeCell ref="CA34:CA40"/>
    <mergeCell ref="CD34:CD40"/>
    <mergeCell ref="E39:E40"/>
    <mergeCell ref="A41:A134"/>
    <mergeCell ref="E41:E46"/>
    <mergeCell ref="BI41:BI134"/>
    <mergeCell ref="BJ41:BJ131"/>
    <mergeCell ref="BK41:BK131"/>
    <mergeCell ref="BL41:BL131"/>
    <mergeCell ref="BM41:BM131"/>
    <mergeCell ref="BT34:BT40"/>
    <mergeCell ref="BU34:BU40"/>
    <mergeCell ref="BV34:BV40"/>
    <mergeCell ref="BW34:BW40"/>
    <mergeCell ref="BX34:BX40"/>
    <mergeCell ref="BZ34:BZ40"/>
    <mergeCell ref="BM34:BM40"/>
    <mergeCell ref="BN34:BN40"/>
    <mergeCell ref="BO34:BO40"/>
    <mergeCell ref="BQ34:BQ40"/>
    <mergeCell ref="BR34:BR40"/>
    <mergeCell ref="BS34:BS40"/>
    <mergeCell ref="BZ4:BZ33"/>
    <mergeCell ref="CA4:CA33"/>
    <mergeCell ref="CD4:CD33"/>
    <mergeCell ref="E29:E32"/>
    <mergeCell ref="A34:A40"/>
    <mergeCell ref="E34:E38"/>
    <mergeCell ref="BI34:BI40"/>
    <mergeCell ref="BJ34:BJ40"/>
    <mergeCell ref="BK34:BK40"/>
    <mergeCell ref="BL34:BL40"/>
    <mergeCell ref="BS4:BS31"/>
    <mergeCell ref="BT4:BT33"/>
    <mergeCell ref="BU4:BU33"/>
    <mergeCell ref="BV4:BV33"/>
    <mergeCell ref="BW4:BW33"/>
    <mergeCell ref="BX4:BX33"/>
    <mergeCell ref="BM4:BM33"/>
    <mergeCell ref="BN4:BN33"/>
    <mergeCell ref="BO4:BO33"/>
    <mergeCell ref="BP4:BP33"/>
    <mergeCell ref="BQ4:BQ33"/>
    <mergeCell ref="BR4:BR33"/>
    <mergeCell ref="A4:A33"/>
    <mergeCell ref="E4:E28"/>
    <mergeCell ref="BI4:BI33"/>
    <mergeCell ref="BJ4:BJ31"/>
    <mergeCell ref="BK4:BK33"/>
    <mergeCell ref="BL4:BL31"/>
    <mergeCell ref="AQ2:AS2"/>
    <mergeCell ref="AT2:AV2"/>
    <mergeCell ref="AW2:AY2"/>
    <mergeCell ref="AZ2:BB2"/>
    <mergeCell ref="BC2:BE2"/>
    <mergeCell ref="BF2:BH2"/>
    <mergeCell ref="Y2:AA2"/>
    <mergeCell ref="AB2:AD2"/>
    <mergeCell ref="AE2:AG2"/>
    <mergeCell ref="AH2:AJ2"/>
    <mergeCell ref="AK2:AM2"/>
    <mergeCell ref="AN2:AP2"/>
    <mergeCell ref="CA1:CA3"/>
    <mergeCell ref="CB1:CB3"/>
    <mergeCell ref="CC1:CC3"/>
    <mergeCell ref="BN1:BN3"/>
    <mergeCell ref="AQ1:AS1"/>
    <mergeCell ref="AT1:AV1"/>
    <mergeCell ref="AW1:AY1"/>
    <mergeCell ref="AZ1:BB1"/>
    <mergeCell ref="BC1:BE1"/>
    <mergeCell ref="BF1:BH1"/>
    <mergeCell ref="Y1:AA1"/>
    <mergeCell ref="AB1:AD1"/>
    <mergeCell ref="AE1:AG1"/>
    <mergeCell ref="AH1:AJ1"/>
    <mergeCell ref="AK1:AM1"/>
    <mergeCell ref="AN1:AP1"/>
    <mergeCell ref="CD1:CD3"/>
    <mergeCell ref="G2:I2"/>
    <mergeCell ref="J2:L2"/>
    <mergeCell ref="M2:O2"/>
    <mergeCell ref="P2:R2"/>
    <mergeCell ref="S2:U2"/>
    <mergeCell ref="V2:X2"/>
    <mergeCell ref="BU1:BU3"/>
    <mergeCell ref="BV1:BV3"/>
    <mergeCell ref="BW1:BW3"/>
    <mergeCell ref="BX1:BX3"/>
    <mergeCell ref="BY1:BY3"/>
    <mergeCell ref="BZ1:BZ3"/>
    <mergeCell ref="BO1:BO3"/>
    <mergeCell ref="BP1:BP3"/>
    <mergeCell ref="BQ1:BQ3"/>
    <mergeCell ref="BR1:BR3"/>
    <mergeCell ref="BS1:BS3"/>
    <mergeCell ref="BT1:BT3"/>
    <mergeCell ref="BI1:BI3"/>
    <mergeCell ref="BJ1:BJ3"/>
    <mergeCell ref="BK1:BK3"/>
    <mergeCell ref="BL1:BL3"/>
    <mergeCell ref="BM1:BM3"/>
    <mergeCell ref="G1:I1"/>
    <mergeCell ref="J1:L1"/>
    <mergeCell ref="M1:O1"/>
    <mergeCell ref="P1:R1"/>
    <mergeCell ref="S1:U1"/>
    <mergeCell ref="V1:X1"/>
    <mergeCell ref="A1:A3"/>
    <mergeCell ref="B1:B3"/>
    <mergeCell ref="C1:C3"/>
    <mergeCell ref="D1:D3"/>
    <mergeCell ref="E1:E3"/>
    <mergeCell ref="F1:F3"/>
  </mergeCells>
  <printOptions horizontalCentered="1"/>
  <pageMargins left="3.937007874015748E-2" right="3.937007874015748E-2" top="0.39370078740157483" bottom="0.39370078740157483" header="3.937007874015748E-2" footer="0"/>
  <pageSetup paperSize="9" scale="55" orientation="landscape" r:id="rId1"/>
  <headerFooter>
    <oddHeader>&amp;LVeresegyház Város Önkormányzat&amp;CBERUHÁZÁSOK 2014.12.31. BESZÁMOLÓ&amp;R12.1.melléklet
adatok ezer forintban</oddHeader>
    <oddFooter>&amp;C&amp;P</oddFooter>
  </headerFooter>
  <rowBreaks count="2" manualBreakCount="2">
    <brk id="98" max="81" man="1"/>
    <brk id="139" max="8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9"/>
  <sheetViews>
    <sheetView topLeftCell="A71" zoomScaleSheetLayoutView="100" zoomScalePageLayoutView="115" workbookViewId="0">
      <selection activeCell="X116" sqref="X116"/>
    </sheetView>
  </sheetViews>
  <sheetFormatPr defaultRowHeight="12" outlineLevelCol="1" x14ac:dyDescent="0.2"/>
  <cols>
    <col min="1" max="1" width="10.42578125" style="405" customWidth="1"/>
    <col min="2" max="2" width="11.140625" style="409" customWidth="1"/>
    <col min="3" max="3" width="41.28515625" style="407" customWidth="1"/>
    <col min="4" max="5" width="10.7109375" style="369" hidden="1" customWidth="1" outlineLevel="1"/>
    <col min="6" max="6" width="10.7109375" style="369" customWidth="1" collapsed="1"/>
    <col min="7" max="11" width="10.7109375" style="369" hidden="1" customWidth="1" outlineLevel="1"/>
    <col min="12" max="12" width="10.7109375" style="369" customWidth="1" collapsed="1"/>
    <col min="13" max="14" width="10.7109375" style="369" hidden="1" customWidth="1" outlineLevel="1"/>
    <col min="15" max="15" width="10.7109375" style="369" customWidth="1" collapsed="1"/>
    <col min="16" max="20" width="10.7109375" style="369" hidden="1" customWidth="1" outlineLevel="1"/>
    <col min="21" max="21" width="10.7109375" style="369" customWidth="1" collapsed="1"/>
    <col min="22" max="23" width="10.7109375" style="369" hidden="1" customWidth="1" outlineLevel="1"/>
    <col min="24" max="24" width="10.7109375" style="369" customWidth="1" collapsed="1"/>
    <col min="25" max="29" width="10.7109375" style="369" hidden="1" customWidth="1" outlineLevel="1"/>
    <col min="30" max="30" width="10.7109375" style="369" customWidth="1" collapsed="1"/>
    <col min="31" max="32" width="10.7109375" style="369" hidden="1" customWidth="1" outlineLevel="1"/>
    <col min="33" max="33" width="10.7109375" style="369" customWidth="1" collapsed="1"/>
    <col min="34" max="256" width="9.140625" style="369"/>
    <col min="257" max="257" width="10.42578125" style="369" customWidth="1"/>
    <col min="258" max="258" width="11.140625" style="369" customWidth="1"/>
    <col min="259" max="259" width="41.28515625" style="369" customWidth="1"/>
    <col min="260" max="289" width="10.7109375" style="369" customWidth="1"/>
    <col min="290" max="512" width="9.140625" style="369"/>
    <col min="513" max="513" width="10.42578125" style="369" customWidth="1"/>
    <col min="514" max="514" width="11.140625" style="369" customWidth="1"/>
    <col min="515" max="515" width="41.28515625" style="369" customWidth="1"/>
    <col min="516" max="545" width="10.7109375" style="369" customWidth="1"/>
    <col min="546" max="768" width="9.140625" style="369"/>
    <col min="769" max="769" width="10.42578125" style="369" customWidth="1"/>
    <col min="770" max="770" width="11.140625" style="369" customWidth="1"/>
    <col min="771" max="771" width="41.28515625" style="369" customWidth="1"/>
    <col min="772" max="801" width="10.7109375" style="369" customWidth="1"/>
    <col min="802" max="1024" width="9.140625" style="369"/>
    <col min="1025" max="1025" width="10.42578125" style="369" customWidth="1"/>
    <col min="1026" max="1026" width="11.140625" style="369" customWidth="1"/>
    <col min="1027" max="1027" width="41.28515625" style="369" customWidth="1"/>
    <col min="1028" max="1057" width="10.7109375" style="369" customWidth="1"/>
    <col min="1058" max="1280" width="9.140625" style="369"/>
    <col min="1281" max="1281" width="10.42578125" style="369" customWidth="1"/>
    <col min="1282" max="1282" width="11.140625" style="369" customWidth="1"/>
    <col min="1283" max="1283" width="41.28515625" style="369" customWidth="1"/>
    <col min="1284" max="1313" width="10.7109375" style="369" customWidth="1"/>
    <col min="1314" max="1536" width="9.140625" style="369"/>
    <col min="1537" max="1537" width="10.42578125" style="369" customWidth="1"/>
    <col min="1538" max="1538" width="11.140625" style="369" customWidth="1"/>
    <col min="1539" max="1539" width="41.28515625" style="369" customWidth="1"/>
    <col min="1540" max="1569" width="10.7109375" style="369" customWidth="1"/>
    <col min="1570" max="1792" width="9.140625" style="369"/>
    <col min="1793" max="1793" width="10.42578125" style="369" customWidth="1"/>
    <col min="1794" max="1794" width="11.140625" style="369" customWidth="1"/>
    <col min="1795" max="1795" width="41.28515625" style="369" customWidth="1"/>
    <col min="1796" max="1825" width="10.7109375" style="369" customWidth="1"/>
    <col min="1826" max="2048" width="9.140625" style="369"/>
    <col min="2049" max="2049" width="10.42578125" style="369" customWidth="1"/>
    <col min="2050" max="2050" width="11.140625" style="369" customWidth="1"/>
    <col min="2051" max="2051" width="41.28515625" style="369" customWidth="1"/>
    <col min="2052" max="2081" width="10.7109375" style="369" customWidth="1"/>
    <col min="2082" max="2304" width="9.140625" style="369"/>
    <col min="2305" max="2305" width="10.42578125" style="369" customWidth="1"/>
    <col min="2306" max="2306" width="11.140625" style="369" customWidth="1"/>
    <col min="2307" max="2307" width="41.28515625" style="369" customWidth="1"/>
    <col min="2308" max="2337" width="10.7109375" style="369" customWidth="1"/>
    <col min="2338" max="2560" width="9.140625" style="369"/>
    <col min="2561" max="2561" width="10.42578125" style="369" customWidth="1"/>
    <col min="2562" max="2562" width="11.140625" style="369" customWidth="1"/>
    <col min="2563" max="2563" width="41.28515625" style="369" customWidth="1"/>
    <col min="2564" max="2593" width="10.7109375" style="369" customWidth="1"/>
    <col min="2594" max="2816" width="9.140625" style="369"/>
    <col min="2817" max="2817" width="10.42578125" style="369" customWidth="1"/>
    <col min="2818" max="2818" width="11.140625" style="369" customWidth="1"/>
    <col min="2819" max="2819" width="41.28515625" style="369" customWidth="1"/>
    <col min="2820" max="2849" width="10.7109375" style="369" customWidth="1"/>
    <col min="2850" max="3072" width="9.140625" style="369"/>
    <col min="3073" max="3073" width="10.42578125" style="369" customWidth="1"/>
    <col min="3074" max="3074" width="11.140625" style="369" customWidth="1"/>
    <col min="3075" max="3075" width="41.28515625" style="369" customWidth="1"/>
    <col min="3076" max="3105" width="10.7109375" style="369" customWidth="1"/>
    <col min="3106" max="3328" width="9.140625" style="369"/>
    <col min="3329" max="3329" width="10.42578125" style="369" customWidth="1"/>
    <col min="3330" max="3330" width="11.140625" style="369" customWidth="1"/>
    <col min="3331" max="3331" width="41.28515625" style="369" customWidth="1"/>
    <col min="3332" max="3361" width="10.7109375" style="369" customWidth="1"/>
    <col min="3362" max="3584" width="9.140625" style="369"/>
    <col min="3585" max="3585" width="10.42578125" style="369" customWidth="1"/>
    <col min="3586" max="3586" width="11.140625" style="369" customWidth="1"/>
    <col min="3587" max="3587" width="41.28515625" style="369" customWidth="1"/>
    <col min="3588" max="3617" width="10.7109375" style="369" customWidth="1"/>
    <col min="3618" max="3840" width="9.140625" style="369"/>
    <col min="3841" max="3841" width="10.42578125" style="369" customWidth="1"/>
    <col min="3842" max="3842" width="11.140625" style="369" customWidth="1"/>
    <col min="3843" max="3843" width="41.28515625" style="369" customWidth="1"/>
    <col min="3844" max="3873" width="10.7109375" style="369" customWidth="1"/>
    <col min="3874" max="4096" width="9.140625" style="369"/>
    <col min="4097" max="4097" width="10.42578125" style="369" customWidth="1"/>
    <col min="4098" max="4098" width="11.140625" style="369" customWidth="1"/>
    <col min="4099" max="4099" width="41.28515625" style="369" customWidth="1"/>
    <col min="4100" max="4129" width="10.7109375" style="369" customWidth="1"/>
    <col min="4130" max="4352" width="9.140625" style="369"/>
    <col min="4353" max="4353" width="10.42578125" style="369" customWidth="1"/>
    <col min="4354" max="4354" width="11.140625" style="369" customWidth="1"/>
    <col min="4355" max="4355" width="41.28515625" style="369" customWidth="1"/>
    <col min="4356" max="4385" width="10.7109375" style="369" customWidth="1"/>
    <col min="4386" max="4608" width="9.140625" style="369"/>
    <col min="4609" max="4609" width="10.42578125" style="369" customWidth="1"/>
    <col min="4610" max="4610" width="11.140625" style="369" customWidth="1"/>
    <col min="4611" max="4611" width="41.28515625" style="369" customWidth="1"/>
    <col min="4612" max="4641" width="10.7109375" style="369" customWidth="1"/>
    <col min="4642" max="4864" width="9.140625" style="369"/>
    <col min="4865" max="4865" width="10.42578125" style="369" customWidth="1"/>
    <col min="4866" max="4866" width="11.140625" style="369" customWidth="1"/>
    <col min="4867" max="4867" width="41.28515625" style="369" customWidth="1"/>
    <col min="4868" max="4897" width="10.7109375" style="369" customWidth="1"/>
    <col min="4898" max="5120" width="9.140625" style="369"/>
    <col min="5121" max="5121" width="10.42578125" style="369" customWidth="1"/>
    <col min="5122" max="5122" width="11.140625" style="369" customWidth="1"/>
    <col min="5123" max="5123" width="41.28515625" style="369" customWidth="1"/>
    <col min="5124" max="5153" width="10.7109375" style="369" customWidth="1"/>
    <col min="5154" max="5376" width="9.140625" style="369"/>
    <col min="5377" max="5377" width="10.42578125" style="369" customWidth="1"/>
    <col min="5378" max="5378" width="11.140625" style="369" customWidth="1"/>
    <col min="5379" max="5379" width="41.28515625" style="369" customWidth="1"/>
    <col min="5380" max="5409" width="10.7109375" style="369" customWidth="1"/>
    <col min="5410" max="5632" width="9.140625" style="369"/>
    <col min="5633" max="5633" width="10.42578125" style="369" customWidth="1"/>
    <col min="5634" max="5634" width="11.140625" style="369" customWidth="1"/>
    <col min="5635" max="5635" width="41.28515625" style="369" customWidth="1"/>
    <col min="5636" max="5665" width="10.7109375" style="369" customWidth="1"/>
    <col min="5666" max="5888" width="9.140625" style="369"/>
    <col min="5889" max="5889" width="10.42578125" style="369" customWidth="1"/>
    <col min="5890" max="5890" width="11.140625" style="369" customWidth="1"/>
    <col min="5891" max="5891" width="41.28515625" style="369" customWidth="1"/>
    <col min="5892" max="5921" width="10.7109375" style="369" customWidth="1"/>
    <col min="5922" max="6144" width="9.140625" style="369"/>
    <col min="6145" max="6145" width="10.42578125" style="369" customWidth="1"/>
    <col min="6146" max="6146" width="11.140625" style="369" customWidth="1"/>
    <col min="6147" max="6147" width="41.28515625" style="369" customWidth="1"/>
    <col min="6148" max="6177" width="10.7109375" style="369" customWidth="1"/>
    <col min="6178" max="6400" width="9.140625" style="369"/>
    <col min="6401" max="6401" width="10.42578125" style="369" customWidth="1"/>
    <col min="6402" max="6402" width="11.140625" style="369" customWidth="1"/>
    <col min="6403" max="6403" width="41.28515625" style="369" customWidth="1"/>
    <col min="6404" max="6433" width="10.7109375" style="369" customWidth="1"/>
    <col min="6434" max="6656" width="9.140625" style="369"/>
    <col min="6657" max="6657" width="10.42578125" style="369" customWidth="1"/>
    <col min="6658" max="6658" width="11.140625" style="369" customWidth="1"/>
    <col min="6659" max="6659" width="41.28515625" style="369" customWidth="1"/>
    <col min="6660" max="6689" width="10.7109375" style="369" customWidth="1"/>
    <col min="6690" max="6912" width="9.140625" style="369"/>
    <col min="6913" max="6913" width="10.42578125" style="369" customWidth="1"/>
    <col min="6914" max="6914" width="11.140625" style="369" customWidth="1"/>
    <col min="6915" max="6915" width="41.28515625" style="369" customWidth="1"/>
    <col min="6916" max="6945" width="10.7109375" style="369" customWidth="1"/>
    <col min="6946" max="7168" width="9.140625" style="369"/>
    <col min="7169" max="7169" width="10.42578125" style="369" customWidth="1"/>
    <col min="7170" max="7170" width="11.140625" style="369" customWidth="1"/>
    <col min="7171" max="7171" width="41.28515625" style="369" customWidth="1"/>
    <col min="7172" max="7201" width="10.7109375" style="369" customWidth="1"/>
    <col min="7202" max="7424" width="9.140625" style="369"/>
    <col min="7425" max="7425" width="10.42578125" style="369" customWidth="1"/>
    <col min="7426" max="7426" width="11.140625" style="369" customWidth="1"/>
    <col min="7427" max="7427" width="41.28515625" style="369" customWidth="1"/>
    <col min="7428" max="7457" width="10.7109375" style="369" customWidth="1"/>
    <col min="7458" max="7680" width="9.140625" style="369"/>
    <col min="7681" max="7681" width="10.42578125" style="369" customWidth="1"/>
    <col min="7682" max="7682" width="11.140625" style="369" customWidth="1"/>
    <col min="7683" max="7683" width="41.28515625" style="369" customWidth="1"/>
    <col min="7684" max="7713" width="10.7109375" style="369" customWidth="1"/>
    <col min="7714" max="7936" width="9.140625" style="369"/>
    <col min="7937" max="7937" width="10.42578125" style="369" customWidth="1"/>
    <col min="7938" max="7938" width="11.140625" style="369" customWidth="1"/>
    <col min="7939" max="7939" width="41.28515625" style="369" customWidth="1"/>
    <col min="7940" max="7969" width="10.7109375" style="369" customWidth="1"/>
    <col min="7970" max="8192" width="9.140625" style="369"/>
    <col min="8193" max="8193" width="10.42578125" style="369" customWidth="1"/>
    <col min="8194" max="8194" width="11.140625" style="369" customWidth="1"/>
    <col min="8195" max="8195" width="41.28515625" style="369" customWidth="1"/>
    <col min="8196" max="8225" width="10.7109375" style="369" customWidth="1"/>
    <col min="8226" max="8448" width="9.140625" style="369"/>
    <col min="8449" max="8449" width="10.42578125" style="369" customWidth="1"/>
    <col min="8450" max="8450" width="11.140625" style="369" customWidth="1"/>
    <col min="8451" max="8451" width="41.28515625" style="369" customWidth="1"/>
    <col min="8452" max="8481" width="10.7109375" style="369" customWidth="1"/>
    <col min="8482" max="8704" width="9.140625" style="369"/>
    <col min="8705" max="8705" width="10.42578125" style="369" customWidth="1"/>
    <col min="8706" max="8706" width="11.140625" style="369" customWidth="1"/>
    <col min="8707" max="8707" width="41.28515625" style="369" customWidth="1"/>
    <col min="8708" max="8737" width="10.7109375" style="369" customWidth="1"/>
    <col min="8738" max="8960" width="9.140625" style="369"/>
    <col min="8961" max="8961" width="10.42578125" style="369" customWidth="1"/>
    <col min="8962" max="8962" width="11.140625" style="369" customWidth="1"/>
    <col min="8963" max="8963" width="41.28515625" style="369" customWidth="1"/>
    <col min="8964" max="8993" width="10.7109375" style="369" customWidth="1"/>
    <col min="8994" max="9216" width="9.140625" style="369"/>
    <col min="9217" max="9217" width="10.42578125" style="369" customWidth="1"/>
    <col min="9218" max="9218" width="11.140625" style="369" customWidth="1"/>
    <col min="9219" max="9219" width="41.28515625" style="369" customWidth="1"/>
    <col min="9220" max="9249" width="10.7109375" style="369" customWidth="1"/>
    <col min="9250" max="9472" width="9.140625" style="369"/>
    <col min="9473" max="9473" width="10.42578125" style="369" customWidth="1"/>
    <col min="9474" max="9474" width="11.140625" style="369" customWidth="1"/>
    <col min="9475" max="9475" width="41.28515625" style="369" customWidth="1"/>
    <col min="9476" max="9505" width="10.7109375" style="369" customWidth="1"/>
    <col min="9506" max="9728" width="9.140625" style="369"/>
    <col min="9729" max="9729" width="10.42578125" style="369" customWidth="1"/>
    <col min="9730" max="9730" width="11.140625" style="369" customWidth="1"/>
    <col min="9731" max="9731" width="41.28515625" style="369" customWidth="1"/>
    <col min="9732" max="9761" width="10.7109375" style="369" customWidth="1"/>
    <col min="9762" max="9984" width="9.140625" style="369"/>
    <col min="9985" max="9985" width="10.42578125" style="369" customWidth="1"/>
    <col min="9986" max="9986" width="11.140625" style="369" customWidth="1"/>
    <col min="9987" max="9987" width="41.28515625" style="369" customWidth="1"/>
    <col min="9988" max="10017" width="10.7109375" style="369" customWidth="1"/>
    <col min="10018" max="10240" width="9.140625" style="369"/>
    <col min="10241" max="10241" width="10.42578125" style="369" customWidth="1"/>
    <col min="10242" max="10242" width="11.140625" style="369" customWidth="1"/>
    <col min="10243" max="10243" width="41.28515625" style="369" customWidth="1"/>
    <col min="10244" max="10273" width="10.7109375" style="369" customWidth="1"/>
    <col min="10274" max="10496" width="9.140625" style="369"/>
    <col min="10497" max="10497" width="10.42578125" style="369" customWidth="1"/>
    <col min="10498" max="10498" width="11.140625" style="369" customWidth="1"/>
    <col min="10499" max="10499" width="41.28515625" style="369" customWidth="1"/>
    <col min="10500" max="10529" width="10.7109375" style="369" customWidth="1"/>
    <col min="10530" max="10752" width="9.140625" style="369"/>
    <col min="10753" max="10753" width="10.42578125" style="369" customWidth="1"/>
    <col min="10754" max="10754" width="11.140625" style="369" customWidth="1"/>
    <col min="10755" max="10755" width="41.28515625" style="369" customWidth="1"/>
    <col min="10756" max="10785" width="10.7109375" style="369" customWidth="1"/>
    <col min="10786" max="11008" width="9.140625" style="369"/>
    <col min="11009" max="11009" width="10.42578125" style="369" customWidth="1"/>
    <col min="11010" max="11010" width="11.140625" style="369" customWidth="1"/>
    <col min="11011" max="11011" width="41.28515625" style="369" customWidth="1"/>
    <col min="11012" max="11041" width="10.7109375" style="369" customWidth="1"/>
    <col min="11042" max="11264" width="9.140625" style="369"/>
    <col min="11265" max="11265" width="10.42578125" style="369" customWidth="1"/>
    <col min="11266" max="11266" width="11.140625" style="369" customWidth="1"/>
    <col min="11267" max="11267" width="41.28515625" style="369" customWidth="1"/>
    <col min="11268" max="11297" width="10.7109375" style="369" customWidth="1"/>
    <col min="11298" max="11520" width="9.140625" style="369"/>
    <col min="11521" max="11521" width="10.42578125" style="369" customWidth="1"/>
    <col min="11522" max="11522" width="11.140625" style="369" customWidth="1"/>
    <col min="11523" max="11523" width="41.28515625" style="369" customWidth="1"/>
    <col min="11524" max="11553" width="10.7109375" style="369" customWidth="1"/>
    <col min="11554" max="11776" width="9.140625" style="369"/>
    <col min="11777" max="11777" width="10.42578125" style="369" customWidth="1"/>
    <col min="11778" max="11778" width="11.140625" style="369" customWidth="1"/>
    <col min="11779" max="11779" width="41.28515625" style="369" customWidth="1"/>
    <col min="11780" max="11809" width="10.7109375" style="369" customWidth="1"/>
    <col min="11810" max="12032" width="9.140625" style="369"/>
    <col min="12033" max="12033" width="10.42578125" style="369" customWidth="1"/>
    <col min="12034" max="12034" width="11.140625" style="369" customWidth="1"/>
    <col min="12035" max="12035" width="41.28515625" style="369" customWidth="1"/>
    <col min="12036" max="12065" width="10.7109375" style="369" customWidth="1"/>
    <col min="12066" max="12288" width="9.140625" style="369"/>
    <col min="12289" max="12289" width="10.42578125" style="369" customWidth="1"/>
    <col min="12290" max="12290" width="11.140625" style="369" customWidth="1"/>
    <col min="12291" max="12291" width="41.28515625" style="369" customWidth="1"/>
    <col min="12292" max="12321" width="10.7109375" style="369" customWidth="1"/>
    <col min="12322" max="12544" width="9.140625" style="369"/>
    <col min="12545" max="12545" width="10.42578125" style="369" customWidth="1"/>
    <col min="12546" max="12546" width="11.140625" style="369" customWidth="1"/>
    <col min="12547" max="12547" width="41.28515625" style="369" customWidth="1"/>
    <col min="12548" max="12577" width="10.7109375" style="369" customWidth="1"/>
    <col min="12578" max="12800" width="9.140625" style="369"/>
    <col min="12801" max="12801" width="10.42578125" style="369" customWidth="1"/>
    <col min="12802" max="12802" width="11.140625" style="369" customWidth="1"/>
    <col min="12803" max="12803" width="41.28515625" style="369" customWidth="1"/>
    <col min="12804" max="12833" width="10.7109375" style="369" customWidth="1"/>
    <col min="12834" max="13056" width="9.140625" style="369"/>
    <col min="13057" max="13057" width="10.42578125" style="369" customWidth="1"/>
    <col min="13058" max="13058" width="11.140625" style="369" customWidth="1"/>
    <col min="13059" max="13059" width="41.28515625" style="369" customWidth="1"/>
    <col min="13060" max="13089" width="10.7109375" style="369" customWidth="1"/>
    <col min="13090" max="13312" width="9.140625" style="369"/>
    <col min="13313" max="13313" width="10.42578125" style="369" customWidth="1"/>
    <col min="13314" max="13314" width="11.140625" style="369" customWidth="1"/>
    <col min="13315" max="13315" width="41.28515625" style="369" customWidth="1"/>
    <col min="13316" max="13345" width="10.7109375" style="369" customWidth="1"/>
    <col min="13346" max="13568" width="9.140625" style="369"/>
    <col min="13569" max="13569" width="10.42578125" style="369" customWidth="1"/>
    <col min="13570" max="13570" width="11.140625" style="369" customWidth="1"/>
    <col min="13571" max="13571" width="41.28515625" style="369" customWidth="1"/>
    <col min="13572" max="13601" width="10.7109375" style="369" customWidth="1"/>
    <col min="13602" max="13824" width="9.140625" style="369"/>
    <col min="13825" max="13825" width="10.42578125" style="369" customWidth="1"/>
    <col min="13826" max="13826" width="11.140625" style="369" customWidth="1"/>
    <col min="13827" max="13827" width="41.28515625" style="369" customWidth="1"/>
    <col min="13828" max="13857" width="10.7109375" style="369" customWidth="1"/>
    <col min="13858" max="14080" width="9.140625" style="369"/>
    <col min="14081" max="14081" width="10.42578125" style="369" customWidth="1"/>
    <col min="14082" max="14082" width="11.140625" style="369" customWidth="1"/>
    <col min="14083" max="14083" width="41.28515625" style="369" customWidth="1"/>
    <col min="14084" max="14113" width="10.7109375" style="369" customWidth="1"/>
    <col min="14114" max="14336" width="9.140625" style="369"/>
    <col min="14337" max="14337" width="10.42578125" style="369" customWidth="1"/>
    <col min="14338" max="14338" width="11.140625" style="369" customWidth="1"/>
    <col min="14339" max="14339" width="41.28515625" style="369" customWidth="1"/>
    <col min="14340" max="14369" width="10.7109375" style="369" customWidth="1"/>
    <col min="14370" max="14592" width="9.140625" style="369"/>
    <col min="14593" max="14593" width="10.42578125" style="369" customWidth="1"/>
    <col min="14594" max="14594" width="11.140625" style="369" customWidth="1"/>
    <col min="14595" max="14595" width="41.28515625" style="369" customWidth="1"/>
    <col min="14596" max="14625" width="10.7109375" style="369" customWidth="1"/>
    <col min="14626" max="14848" width="9.140625" style="369"/>
    <col min="14849" max="14849" width="10.42578125" style="369" customWidth="1"/>
    <col min="14850" max="14850" width="11.140625" style="369" customWidth="1"/>
    <col min="14851" max="14851" width="41.28515625" style="369" customWidth="1"/>
    <col min="14852" max="14881" width="10.7109375" style="369" customWidth="1"/>
    <col min="14882" max="15104" width="9.140625" style="369"/>
    <col min="15105" max="15105" width="10.42578125" style="369" customWidth="1"/>
    <col min="15106" max="15106" width="11.140625" style="369" customWidth="1"/>
    <col min="15107" max="15107" width="41.28515625" style="369" customWidth="1"/>
    <col min="15108" max="15137" width="10.7109375" style="369" customWidth="1"/>
    <col min="15138" max="15360" width="9.140625" style="369"/>
    <col min="15361" max="15361" width="10.42578125" style="369" customWidth="1"/>
    <col min="15362" max="15362" width="11.140625" style="369" customWidth="1"/>
    <col min="15363" max="15363" width="41.28515625" style="369" customWidth="1"/>
    <col min="15364" max="15393" width="10.7109375" style="369" customWidth="1"/>
    <col min="15394" max="15616" width="9.140625" style="369"/>
    <col min="15617" max="15617" width="10.42578125" style="369" customWidth="1"/>
    <col min="15618" max="15618" width="11.140625" style="369" customWidth="1"/>
    <col min="15619" max="15619" width="41.28515625" style="369" customWidth="1"/>
    <col min="15620" max="15649" width="10.7109375" style="369" customWidth="1"/>
    <col min="15650" max="15872" width="9.140625" style="369"/>
    <col min="15873" max="15873" width="10.42578125" style="369" customWidth="1"/>
    <col min="15874" max="15874" width="11.140625" style="369" customWidth="1"/>
    <col min="15875" max="15875" width="41.28515625" style="369" customWidth="1"/>
    <col min="15876" max="15905" width="10.7109375" style="369" customWidth="1"/>
    <col min="15906" max="16128" width="9.140625" style="369"/>
    <col min="16129" max="16129" width="10.42578125" style="369" customWidth="1"/>
    <col min="16130" max="16130" width="11.140625" style="369" customWidth="1"/>
    <col min="16131" max="16131" width="41.28515625" style="369" customWidth="1"/>
    <col min="16132" max="16161" width="10.7109375" style="369" customWidth="1"/>
    <col min="16162" max="16384" width="9.140625" style="369"/>
  </cols>
  <sheetData>
    <row r="1" spans="1:33" ht="43.5" customHeight="1" x14ac:dyDescent="0.2">
      <c r="A1" s="770" t="s">
        <v>403</v>
      </c>
      <c r="B1" s="773" t="s">
        <v>1693</v>
      </c>
      <c r="C1" s="776" t="s">
        <v>1694</v>
      </c>
      <c r="D1" s="749" t="s">
        <v>557</v>
      </c>
      <c r="E1" s="749"/>
      <c r="F1" s="750"/>
      <c r="G1" s="748" t="s">
        <v>428</v>
      </c>
      <c r="H1" s="749"/>
      <c r="I1" s="752"/>
      <c r="J1" s="748" t="s">
        <v>1304</v>
      </c>
      <c r="K1" s="749"/>
      <c r="L1" s="750"/>
      <c r="M1" s="748" t="s">
        <v>557</v>
      </c>
      <c r="N1" s="749"/>
      <c r="O1" s="750"/>
      <c r="P1" s="751" t="s">
        <v>428</v>
      </c>
      <c r="Q1" s="749"/>
      <c r="R1" s="752"/>
      <c r="S1" s="748" t="s">
        <v>1304</v>
      </c>
      <c r="T1" s="749"/>
      <c r="U1" s="750"/>
      <c r="V1" s="748" t="s">
        <v>557</v>
      </c>
      <c r="W1" s="749"/>
      <c r="X1" s="750"/>
      <c r="Y1" s="751" t="s">
        <v>428</v>
      </c>
      <c r="Z1" s="749"/>
      <c r="AA1" s="752"/>
      <c r="AB1" s="748" t="s">
        <v>1304</v>
      </c>
      <c r="AC1" s="749"/>
      <c r="AD1" s="750"/>
      <c r="AE1" s="751" t="s">
        <v>1311</v>
      </c>
      <c r="AF1" s="749"/>
      <c r="AG1" s="750"/>
    </row>
    <row r="2" spans="1:33" ht="23.25" customHeight="1" x14ac:dyDescent="0.2">
      <c r="A2" s="771"/>
      <c r="B2" s="774"/>
      <c r="C2" s="777"/>
      <c r="D2" s="744" t="s">
        <v>405</v>
      </c>
      <c r="E2" s="744"/>
      <c r="F2" s="745"/>
      <c r="G2" s="743" t="s">
        <v>405</v>
      </c>
      <c r="H2" s="744"/>
      <c r="I2" s="747"/>
      <c r="J2" s="743" t="s">
        <v>405</v>
      </c>
      <c r="K2" s="744"/>
      <c r="L2" s="745"/>
      <c r="M2" s="743" t="s">
        <v>429</v>
      </c>
      <c r="N2" s="744"/>
      <c r="O2" s="745"/>
      <c r="P2" s="746" t="s">
        <v>429</v>
      </c>
      <c r="Q2" s="744"/>
      <c r="R2" s="747"/>
      <c r="S2" s="743" t="s">
        <v>429</v>
      </c>
      <c r="T2" s="744"/>
      <c r="U2" s="745"/>
      <c r="V2" s="743" t="s">
        <v>1695</v>
      </c>
      <c r="W2" s="744"/>
      <c r="X2" s="745"/>
      <c r="Y2" s="746" t="s">
        <v>1695</v>
      </c>
      <c r="Z2" s="744"/>
      <c r="AA2" s="747"/>
      <c r="AB2" s="743" t="s">
        <v>1695</v>
      </c>
      <c r="AC2" s="744"/>
      <c r="AD2" s="745"/>
      <c r="AE2" s="746" t="s">
        <v>1695</v>
      </c>
      <c r="AF2" s="744"/>
      <c r="AG2" s="745"/>
    </row>
    <row r="3" spans="1:33" ht="28.5" customHeight="1" thickBot="1" x14ac:dyDescent="0.25">
      <c r="A3" s="772"/>
      <c r="B3" s="775"/>
      <c r="C3" s="778"/>
      <c r="D3" s="370" t="s">
        <v>430</v>
      </c>
      <c r="E3" s="370" t="s">
        <v>431</v>
      </c>
      <c r="F3" s="371" t="s">
        <v>406</v>
      </c>
      <c r="G3" s="372" t="s">
        <v>430</v>
      </c>
      <c r="H3" s="370" t="s">
        <v>431</v>
      </c>
      <c r="I3" s="373" t="s">
        <v>406</v>
      </c>
      <c r="J3" s="372" t="s">
        <v>430</v>
      </c>
      <c r="K3" s="370" t="s">
        <v>431</v>
      </c>
      <c r="L3" s="371" t="s">
        <v>406</v>
      </c>
      <c r="M3" s="372" t="s">
        <v>430</v>
      </c>
      <c r="N3" s="370" t="s">
        <v>431</v>
      </c>
      <c r="O3" s="371" t="s">
        <v>406</v>
      </c>
      <c r="P3" s="374" t="s">
        <v>430</v>
      </c>
      <c r="Q3" s="370" t="s">
        <v>431</v>
      </c>
      <c r="R3" s="373" t="s">
        <v>406</v>
      </c>
      <c r="S3" s="372" t="s">
        <v>430</v>
      </c>
      <c r="T3" s="370" t="s">
        <v>431</v>
      </c>
      <c r="U3" s="371" t="s">
        <v>406</v>
      </c>
      <c r="V3" s="372" t="s">
        <v>430</v>
      </c>
      <c r="W3" s="370" t="s">
        <v>431</v>
      </c>
      <c r="X3" s="371" t="s">
        <v>406</v>
      </c>
      <c r="Y3" s="374" t="s">
        <v>430</v>
      </c>
      <c r="Z3" s="370" t="s">
        <v>431</v>
      </c>
      <c r="AA3" s="373" t="s">
        <v>406</v>
      </c>
      <c r="AB3" s="372" t="s">
        <v>430</v>
      </c>
      <c r="AC3" s="370" t="s">
        <v>431</v>
      </c>
      <c r="AD3" s="371" t="s">
        <v>406</v>
      </c>
      <c r="AE3" s="374" t="s">
        <v>430</v>
      </c>
      <c r="AF3" s="370" t="s">
        <v>431</v>
      </c>
      <c r="AG3" s="371" t="s">
        <v>406</v>
      </c>
    </row>
    <row r="4" spans="1:33" ht="21.75" customHeight="1" x14ac:dyDescent="0.2">
      <c r="A4" s="201" t="s">
        <v>1734</v>
      </c>
      <c r="B4" s="202" t="s">
        <v>396</v>
      </c>
      <c r="C4" s="281" t="s">
        <v>1735</v>
      </c>
      <c r="D4" s="375">
        <v>400</v>
      </c>
      <c r="E4" s="376"/>
      <c r="F4" s="377">
        <f>+D4+E4</f>
        <v>400</v>
      </c>
      <c r="G4" s="375">
        <f>+J4-D4</f>
        <v>-211</v>
      </c>
      <c r="H4" s="376">
        <f>+K4-E4</f>
        <v>51</v>
      </c>
      <c r="I4" s="378">
        <f>+G4+H4</f>
        <v>-160</v>
      </c>
      <c r="J4" s="375">
        <v>189</v>
      </c>
      <c r="K4" s="376">
        <v>51</v>
      </c>
      <c r="L4" s="377">
        <f>+J4+K4</f>
        <v>240</v>
      </c>
      <c r="M4" s="375">
        <v>400</v>
      </c>
      <c r="N4" s="376"/>
      <c r="O4" s="377">
        <f>+M4+N4</f>
        <v>400</v>
      </c>
      <c r="P4" s="379">
        <f>+S4-M4</f>
        <v>64</v>
      </c>
      <c r="Q4" s="376">
        <f>+T4-N4</f>
        <v>125</v>
      </c>
      <c r="R4" s="378">
        <f>+P4+Q4</f>
        <v>189</v>
      </c>
      <c r="S4" s="375">
        <v>464</v>
      </c>
      <c r="T4" s="376">
        <v>125</v>
      </c>
      <c r="U4" s="377">
        <f>+S4+T4</f>
        <v>589</v>
      </c>
      <c r="V4" s="375">
        <f t="shared" ref="V4:W35" si="0">+D4+M4</f>
        <v>800</v>
      </c>
      <c r="W4" s="376">
        <f t="shared" si="0"/>
        <v>0</v>
      </c>
      <c r="X4" s="377">
        <f>+V4+W4</f>
        <v>800</v>
      </c>
      <c r="Y4" s="379">
        <f t="shared" ref="Y4:Z35" si="1">+G4+P4</f>
        <v>-147</v>
      </c>
      <c r="Z4" s="376">
        <f t="shared" si="1"/>
        <v>176</v>
      </c>
      <c r="AA4" s="378">
        <f>+Y4+Z4</f>
        <v>29</v>
      </c>
      <c r="AB4" s="375">
        <f>+V4+Y4</f>
        <v>653</v>
      </c>
      <c r="AC4" s="376">
        <f>+W4+Z4</f>
        <v>176</v>
      </c>
      <c r="AD4" s="377">
        <f>+AB4+AC4</f>
        <v>829</v>
      </c>
      <c r="AE4" s="379">
        <v>653</v>
      </c>
      <c r="AF4" s="376">
        <v>176</v>
      </c>
      <c r="AG4" s="377">
        <v>829</v>
      </c>
    </row>
    <row r="5" spans="1:33" ht="22.5" x14ac:dyDescent="0.2">
      <c r="A5" s="204"/>
      <c r="B5" s="205" t="s">
        <v>396</v>
      </c>
      <c r="C5" s="282" t="s">
        <v>1736</v>
      </c>
      <c r="D5" s="380">
        <v>254</v>
      </c>
      <c r="E5" s="381"/>
      <c r="F5" s="382">
        <f t="shared" ref="F5:F68" si="2">+D5+E5</f>
        <v>254</v>
      </c>
      <c r="G5" s="380">
        <f t="shared" ref="G5:H62" si="3">+J5-D5</f>
        <v>-254</v>
      </c>
      <c r="H5" s="381">
        <f t="shared" si="3"/>
        <v>0</v>
      </c>
      <c r="I5" s="383">
        <f>+G5+H5</f>
        <v>-254</v>
      </c>
      <c r="J5" s="380"/>
      <c r="K5" s="381"/>
      <c r="L5" s="382">
        <f t="shared" ref="L5:L68" si="4">+J5+K5</f>
        <v>0</v>
      </c>
      <c r="M5" s="380">
        <v>196</v>
      </c>
      <c r="N5" s="381"/>
      <c r="O5" s="382">
        <f>+M5+N5</f>
        <v>196</v>
      </c>
      <c r="P5" s="384">
        <f t="shared" ref="P5:Q62" si="5">+S5-M5</f>
        <v>-196</v>
      </c>
      <c r="Q5" s="381">
        <f t="shared" si="5"/>
        <v>0</v>
      </c>
      <c r="R5" s="383">
        <f>+P5+Q5</f>
        <v>-196</v>
      </c>
      <c r="S5" s="380"/>
      <c r="T5" s="381"/>
      <c r="U5" s="382">
        <f>+S5+T5</f>
        <v>0</v>
      </c>
      <c r="V5" s="380">
        <f t="shared" si="0"/>
        <v>450</v>
      </c>
      <c r="W5" s="381">
        <f t="shared" si="0"/>
        <v>0</v>
      </c>
      <c r="X5" s="382">
        <f>+V5+W5</f>
        <v>450</v>
      </c>
      <c r="Y5" s="384">
        <f t="shared" si="1"/>
        <v>-450</v>
      </c>
      <c r="Z5" s="381">
        <f t="shared" si="1"/>
        <v>0</v>
      </c>
      <c r="AA5" s="383">
        <f>+Y5+Z5</f>
        <v>-450</v>
      </c>
      <c r="AB5" s="380">
        <f>+V5+Y5</f>
        <v>0</v>
      </c>
      <c r="AC5" s="381">
        <f>+W5+Z5</f>
        <v>0</v>
      </c>
      <c r="AD5" s="382">
        <f>+AB5+AC5</f>
        <v>0</v>
      </c>
      <c r="AE5" s="384">
        <v>0</v>
      </c>
      <c r="AF5" s="381">
        <v>0</v>
      </c>
      <c r="AG5" s="382">
        <v>0</v>
      </c>
    </row>
    <row r="6" spans="1:33" ht="20.25" customHeight="1" x14ac:dyDescent="0.2">
      <c r="A6" s="204" t="s">
        <v>1707</v>
      </c>
      <c r="B6" s="205" t="s">
        <v>1737</v>
      </c>
      <c r="C6" s="283" t="s">
        <v>1738</v>
      </c>
      <c r="D6" s="380"/>
      <c r="E6" s="381"/>
      <c r="F6" s="382">
        <f t="shared" si="2"/>
        <v>0</v>
      </c>
      <c r="G6" s="380">
        <f t="shared" si="3"/>
        <v>0</v>
      </c>
      <c r="H6" s="381">
        <f t="shared" si="3"/>
        <v>0</v>
      </c>
      <c r="I6" s="383">
        <f t="shared" ref="I6:I68" si="6">+G6+H6</f>
        <v>0</v>
      </c>
      <c r="J6" s="380">
        <v>0</v>
      </c>
      <c r="K6" s="381">
        <v>0</v>
      </c>
      <c r="L6" s="382">
        <f t="shared" si="4"/>
        <v>0</v>
      </c>
      <c r="M6" s="380"/>
      <c r="N6" s="381"/>
      <c r="O6" s="382">
        <f t="shared" ref="O6:O68" si="7">+M6+N6</f>
        <v>0</v>
      </c>
      <c r="P6" s="384">
        <f t="shared" si="5"/>
        <v>0</v>
      </c>
      <c r="Q6" s="381">
        <f t="shared" si="5"/>
        <v>0</v>
      </c>
      <c r="R6" s="383">
        <f t="shared" ref="R6:R68" si="8">+P6+Q6</f>
        <v>0</v>
      </c>
      <c r="S6" s="380"/>
      <c r="T6" s="381"/>
      <c r="U6" s="382">
        <f t="shared" ref="U6:U69" si="9">+S6+T6</f>
        <v>0</v>
      </c>
      <c r="V6" s="380">
        <f t="shared" si="0"/>
        <v>0</v>
      </c>
      <c r="W6" s="381">
        <f t="shared" si="0"/>
        <v>0</v>
      </c>
      <c r="X6" s="382">
        <f t="shared" ref="X6:X69" si="10">+V6+W6</f>
        <v>0</v>
      </c>
      <c r="Y6" s="384">
        <f t="shared" si="1"/>
        <v>0</v>
      </c>
      <c r="Z6" s="381">
        <f t="shared" si="1"/>
        <v>0</v>
      </c>
      <c r="AA6" s="383">
        <f t="shared" ref="AA6:AA69" si="11">+Y6+Z6</f>
        <v>0</v>
      </c>
      <c r="AB6" s="380">
        <f t="shared" ref="AB6:AC62" si="12">+V6+Y6</f>
        <v>0</v>
      </c>
      <c r="AC6" s="381">
        <f t="shared" si="12"/>
        <v>0</v>
      </c>
      <c r="AD6" s="382">
        <f t="shared" ref="AD6:AD69" si="13">+AB6+AC6</f>
        <v>0</v>
      </c>
      <c r="AE6" s="384">
        <v>0</v>
      </c>
      <c r="AF6" s="381">
        <v>0</v>
      </c>
      <c r="AG6" s="382">
        <v>0</v>
      </c>
    </row>
    <row r="7" spans="1:33" ht="20.25" customHeight="1" x14ac:dyDescent="0.2">
      <c r="A7" s="204" t="s">
        <v>1739</v>
      </c>
      <c r="B7" s="205" t="s">
        <v>1740</v>
      </c>
      <c r="C7" s="283" t="s">
        <v>1738</v>
      </c>
      <c r="D7" s="380"/>
      <c r="E7" s="381"/>
      <c r="F7" s="382">
        <f t="shared" si="2"/>
        <v>0</v>
      </c>
      <c r="G7" s="380">
        <f t="shared" si="3"/>
        <v>83</v>
      </c>
      <c r="H7" s="381">
        <f t="shared" si="3"/>
        <v>22</v>
      </c>
      <c r="I7" s="383">
        <f t="shared" si="6"/>
        <v>105</v>
      </c>
      <c r="J7" s="380">
        <v>83</v>
      </c>
      <c r="K7" s="381">
        <v>22</v>
      </c>
      <c r="L7" s="382">
        <f t="shared" si="4"/>
        <v>105</v>
      </c>
      <c r="M7" s="380"/>
      <c r="N7" s="381"/>
      <c r="O7" s="382">
        <f t="shared" si="7"/>
        <v>0</v>
      </c>
      <c r="P7" s="384">
        <f t="shared" si="5"/>
        <v>0</v>
      </c>
      <c r="Q7" s="381">
        <f t="shared" si="5"/>
        <v>0</v>
      </c>
      <c r="R7" s="383">
        <f t="shared" si="8"/>
        <v>0</v>
      </c>
      <c r="S7" s="380"/>
      <c r="T7" s="381"/>
      <c r="U7" s="382">
        <f t="shared" si="9"/>
        <v>0</v>
      </c>
      <c r="V7" s="380">
        <f t="shared" si="0"/>
        <v>0</v>
      </c>
      <c r="W7" s="381">
        <f t="shared" si="0"/>
        <v>0</v>
      </c>
      <c r="X7" s="382">
        <f t="shared" si="10"/>
        <v>0</v>
      </c>
      <c r="Y7" s="384">
        <f t="shared" si="1"/>
        <v>83</v>
      </c>
      <c r="Z7" s="381">
        <f t="shared" si="1"/>
        <v>22</v>
      </c>
      <c r="AA7" s="383">
        <f t="shared" si="11"/>
        <v>105</v>
      </c>
      <c r="AB7" s="380">
        <f t="shared" si="12"/>
        <v>83</v>
      </c>
      <c r="AC7" s="381">
        <f t="shared" si="12"/>
        <v>22</v>
      </c>
      <c r="AD7" s="382">
        <f t="shared" si="13"/>
        <v>105</v>
      </c>
      <c r="AE7" s="384">
        <v>83</v>
      </c>
      <c r="AF7" s="381">
        <v>22</v>
      </c>
      <c r="AG7" s="382">
        <v>105</v>
      </c>
    </row>
    <row r="8" spans="1:33" ht="27" customHeight="1" x14ac:dyDescent="0.2">
      <c r="A8" s="204" t="s">
        <v>1703</v>
      </c>
      <c r="B8" s="205" t="s">
        <v>1741</v>
      </c>
      <c r="C8" s="283" t="s">
        <v>1738</v>
      </c>
      <c r="D8" s="380"/>
      <c r="E8" s="381"/>
      <c r="F8" s="382">
        <f t="shared" si="2"/>
        <v>0</v>
      </c>
      <c r="G8" s="380">
        <f t="shared" si="3"/>
        <v>246</v>
      </c>
      <c r="H8" s="381">
        <f t="shared" si="3"/>
        <v>66</v>
      </c>
      <c r="I8" s="383">
        <f t="shared" si="6"/>
        <v>312</v>
      </c>
      <c r="J8" s="380">
        <v>246</v>
      </c>
      <c r="K8" s="381">
        <v>66</v>
      </c>
      <c r="L8" s="382">
        <f t="shared" si="4"/>
        <v>312</v>
      </c>
      <c r="M8" s="380"/>
      <c r="N8" s="381"/>
      <c r="O8" s="382">
        <f t="shared" si="7"/>
        <v>0</v>
      </c>
      <c r="P8" s="384">
        <f t="shared" si="5"/>
        <v>0</v>
      </c>
      <c r="Q8" s="381">
        <f t="shared" si="5"/>
        <v>0</v>
      </c>
      <c r="R8" s="383">
        <f t="shared" si="8"/>
        <v>0</v>
      </c>
      <c r="S8" s="380"/>
      <c r="T8" s="381"/>
      <c r="U8" s="382">
        <f t="shared" si="9"/>
        <v>0</v>
      </c>
      <c r="V8" s="380">
        <f t="shared" si="0"/>
        <v>0</v>
      </c>
      <c r="W8" s="381">
        <f t="shared" si="0"/>
        <v>0</v>
      </c>
      <c r="X8" s="382">
        <f t="shared" si="10"/>
        <v>0</v>
      </c>
      <c r="Y8" s="384">
        <f t="shared" si="1"/>
        <v>246</v>
      </c>
      <c r="Z8" s="381">
        <f t="shared" si="1"/>
        <v>66</v>
      </c>
      <c r="AA8" s="383">
        <f t="shared" si="11"/>
        <v>312</v>
      </c>
      <c r="AB8" s="380">
        <f t="shared" si="12"/>
        <v>246</v>
      </c>
      <c r="AC8" s="381">
        <f t="shared" si="12"/>
        <v>66</v>
      </c>
      <c r="AD8" s="382">
        <f t="shared" si="13"/>
        <v>312</v>
      </c>
      <c r="AE8" s="384">
        <v>246</v>
      </c>
      <c r="AF8" s="381">
        <v>66</v>
      </c>
      <c r="AG8" s="382">
        <v>312</v>
      </c>
    </row>
    <row r="9" spans="1:33" ht="30" customHeight="1" x14ac:dyDescent="0.2">
      <c r="A9" s="204" t="s">
        <v>1742</v>
      </c>
      <c r="B9" s="205" t="s">
        <v>1743</v>
      </c>
      <c r="C9" s="283" t="s">
        <v>1738</v>
      </c>
      <c r="D9" s="380"/>
      <c r="E9" s="381"/>
      <c r="F9" s="382">
        <f t="shared" si="2"/>
        <v>0</v>
      </c>
      <c r="G9" s="380">
        <f t="shared" si="3"/>
        <v>0</v>
      </c>
      <c r="H9" s="381">
        <f t="shared" si="3"/>
        <v>0</v>
      </c>
      <c r="I9" s="383">
        <f t="shared" si="6"/>
        <v>0</v>
      </c>
      <c r="J9" s="380">
        <v>0</v>
      </c>
      <c r="K9" s="381">
        <v>0</v>
      </c>
      <c r="L9" s="382">
        <f t="shared" si="4"/>
        <v>0</v>
      </c>
      <c r="M9" s="380"/>
      <c r="N9" s="381"/>
      <c r="O9" s="382">
        <f t="shared" si="7"/>
        <v>0</v>
      </c>
      <c r="P9" s="384">
        <f t="shared" si="5"/>
        <v>152</v>
      </c>
      <c r="Q9" s="381">
        <f t="shared" si="5"/>
        <v>41</v>
      </c>
      <c r="R9" s="383">
        <f t="shared" si="8"/>
        <v>193</v>
      </c>
      <c r="S9" s="380">
        <v>152</v>
      </c>
      <c r="T9" s="381">
        <v>41</v>
      </c>
      <c r="U9" s="382">
        <f t="shared" si="9"/>
        <v>193</v>
      </c>
      <c r="V9" s="380">
        <f t="shared" si="0"/>
        <v>0</v>
      </c>
      <c r="W9" s="381">
        <f t="shared" si="0"/>
        <v>0</v>
      </c>
      <c r="X9" s="382">
        <f t="shared" si="10"/>
        <v>0</v>
      </c>
      <c r="Y9" s="384">
        <f t="shared" si="1"/>
        <v>152</v>
      </c>
      <c r="Z9" s="381">
        <f t="shared" si="1"/>
        <v>41</v>
      </c>
      <c r="AA9" s="383">
        <f t="shared" si="11"/>
        <v>193</v>
      </c>
      <c r="AB9" s="380">
        <f t="shared" si="12"/>
        <v>152</v>
      </c>
      <c r="AC9" s="381">
        <f t="shared" si="12"/>
        <v>41</v>
      </c>
      <c r="AD9" s="382">
        <f t="shared" si="13"/>
        <v>193</v>
      </c>
      <c r="AE9" s="384">
        <v>152</v>
      </c>
      <c r="AF9" s="381">
        <v>41</v>
      </c>
      <c r="AG9" s="382">
        <v>193</v>
      </c>
    </row>
    <row r="10" spans="1:33" ht="20.25" customHeight="1" x14ac:dyDescent="0.2">
      <c r="A10" s="204" t="s">
        <v>1701</v>
      </c>
      <c r="B10" s="205" t="s">
        <v>1744</v>
      </c>
      <c r="C10" s="283" t="s">
        <v>1738</v>
      </c>
      <c r="D10" s="380"/>
      <c r="E10" s="381"/>
      <c r="F10" s="382">
        <f t="shared" si="2"/>
        <v>0</v>
      </c>
      <c r="G10" s="380">
        <f t="shared" si="3"/>
        <v>10</v>
      </c>
      <c r="H10" s="381">
        <f t="shared" si="3"/>
        <v>3</v>
      </c>
      <c r="I10" s="383">
        <f t="shared" si="6"/>
        <v>13</v>
      </c>
      <c r="J10" s="380">
        <v>10</v>
      </c>
      <c r="K10" s="381">
        <v>3</v>
      </c>
      <c r="L10" s="382">
        <f t="shared" si="4"/>
        <v>13</v>
      </c>
      <c r="M10" s="380"/>
      <c r="N10" s="381"/>
      <c r="O10" s="382">
        <f t="shared" si="7"/>
        <v>0</v>
      </c>
      <c r="P10" s="384">
        <f t="shared" si="5"/>
        <v>0</v>
      </c>
      <c r="Q10" s="381">
        <f t="shared" si="5"/>
        <v>0</v>
      </c>
      <c r="R10" s="383">
        <f t="shared" si="8"/>
        <v>0</v>
      </c>
      <c r="S10" s="380"/>
      <c r="T10" s="381"/>
      <c r="U10" s="382">
        <f t="shared" si="9"/>
        <v>0</v>
      </c>
      <c r="V10" s="380">
        <f t="shared" si="0"/>
        <v>0</v>
      </c>
      <c r="W10" s="381">
        <f t="shared" si="0"/>
        <v>0</v>
      </c>
      <c r="X10" s="382">
        <f t="shared" si="10"/>
        <v>0</v>
      </c>
      <c r="Y10" s="384">
        <f t="shared" si="1"/>
        <v>10</v>
      </c>
      <c r="Z10" s="381">
        <f t="shared" si="1"/>
        <v>3</v>
      </c>
      <c r="AA10" s="383">
        <f t="shared" si="11"/>
        <v>13</v>
      </c>
      <c r="AB10" s="380">
        <f t="shared" si="12"/>
        <v>10</v>
      </c>
      <c r="AC10" s="381">
        <f t="shared" si="12"/>
        <v>3</v>
      </c>
      <c r="AD10" s="382">
        <f t="shared" si="13"/>
        <v>13</v>
      </c>
      <c r="AE10" s="384">
        <v>10</v>
      </c>
      <c r="AF10" s="381">
        <v>3</v>
      </c>
      <c r="AG10" s="382">
        <v>13</v>
      </c>
    </row>
    <row r="11" spans="1:33" ht="20.25" customHeight="1" x14ac:dyDescent="0.2">
      <c r="A11" s="204" t="s">
        <v>1705</v>
      </c>
      <c r="B11" s="205" t="s">
        <v>1745</v>
      </c>
      <c r="C11" s="283" t="s">
        <v>1738</v>
      </c>
      <c r="D11" s="380"/>
      <c r="E11" s="381"/>
      <c r="F11" s="382">
        <f t="shared" si="2"/>
        <v>0</v>
      </c>
      <c r="G11" s="380">
        <f t="shared" si="3"/>
        <v>0</v>
      </c>
      <c r="H11" s="381">
        <f t="shared" si="3"/>
        <v>0</v>
      </c>
      <c r="I11" s="383">
        <f t="shared" si="6"/>
        <v>0</v>
      </c>
      <c r="J11" s="380">
        <v>0</v>
      </c>
      <c r="K11" s="381">
        <v>0</v>
      </c>
      <c r="L11" s="382">
        <f t="shared" si="4"/>
        <v>0</v>
      </c>
      <c r="M11" s="380">
        <v>3810</v>
      </c>
      <c r="N11" s="381"/>
      <c r="O11" s="382">
        <f t="shared" si="7"/>
        <v>3810</v>
      </c>
      <c r="P11" s="384">
        <f t="shared" si="5"/>
        <v>-2953</v>
      </c>
      <c r="Q11" s="381">
        <f t="shared" si="5"/>
        <v>231</v>
      </c>
      <c r="R11" s="383">
        <f t="shared" si="8"/>
        <v>-2722</v>
      </c>
      <c r="S11" s="380">
        <v>857</v>
      </c>
      <c r="T11" s="381">
        <v>231</v>
      </c>
      <c r="U11" s="382">
        <f t="shared" si="9"/>
        <v>1088</v>
      </c>
      <c r="V11" s="380">
        <f t="shared" si="0"/>
        <v>3810</v>
      </c>
      <c r="W11" s="381">
        <f t="shared" si="0"/>
        <v>0</v>
      </c>
      <c r="X11" s="382">
        <f t="shared" si="10"/>
        <v>3810</v>
      </c>
      <c r="Y11" s="384">
        <f t="shared" si="1"/>
        <v>-2953</v>
      </c>
      <c r="Z11" s="381">
        <f t="shared" si="1"/>
        <v>231</v>
      </c>
      <c r="AA11" s="383">
        <f t="shared" si="11"/>
        <v>-2722</v>
      </c>
      <c r="AB11" s="380">
        <f t="shared" si="12"/>
        <v>857</v>
      </c>
      <c r="AC11" s="381">
        <f t="shared" si="12"/>
        <v>231</v>
      </c>
      <c r="AD11" s="382">
        <f t="shared" si="13"/>
        <v>1088</v>
      </c>
      <c r="AE11" s="384">
        <v>857</v>
      </c>
      <c r="AF11" s="381">
        <v>231</v>
      </c>
      <c r="AG11" s="382">
        <v>1088</v>
      </c>
    </row>
    <row r="12" spans="1:33" ht="24.75" customHeight="1" x14ac:dyDescent="0.2">
      <c r="A12" s="204" t="s">
        <v>1746</v>
      </c>
      <c r="B12" s="205" t="s">
        <v>1747</v>
      </c>
      <c r="C12" s="283" t="s">
        <v>1738</v>
      </c>
      <c r="D12" s="380"/>
      <c r="E12" s="381"/>
      <c r="F12" s="382">
        <f t="shared" si="2"/>
        <v>0</v>
      </c>
      <c r="G12" s="380">
        <f t="shared" si="3"/>
        <v>0</v>
      </c>
      <c r="H12" s="381">
        <f t="shared" si="3"/>
        <v>0</v>
      </c>
      <c r="I12" s="383">
        <f t="shared" si="6"/>
        <v>0</v>
      </c>
      <c r="J12" s="380">
        <v>0</v>
      </c>
      <c r="K12" s="381">
        <v>0</v>
      </c>
      <c r="L12" s="382">
        <f t="shared" si="4"/>
        <v>0</v>
      </c>
      <c r="M12" s="380">
        <v>1270</v>
      </c>
      <c r="N12" s="381"/>
      <c r="O12" s="382">
        <f t="shared" si="7"/>
        <v>1270</v>
      </c>
      <c r="P12" s="384">
        <f t="shared" si="5"/>
        <v>-1158</v>
      </c>
      <c r="Q12" s="381">
        <f t="shared" si="5"/>
        <v>30</v>
      </c>
      <c r="R12" s="383">
        <f t="shared" si="8"/>
        <v>-1128</v>
      </c>
      <c r="S12" s="380">
        <v>112</v>
      </c>
      <c r="T12" s="381">
        <v>30</v>
      </c>
      <c r="U12" s="382">
        <f t="shared" si="9"/>
        <v>142</v>
      </c>
      <c r="V12" s="380">
        <f t="shared" si="0"/>
        <v>1270</v>
      </c>
      <c r="W12" s="381">
        <f t="shared" si="0"/>
        <v>0</v>
      </c>
      <c r="X12" s="382">
        <f t="shared" si="10"/>
        <v>1270</v>
      </c>
      <c r="Y12" s="384">
        <f t="shared" si="1"/>
        <v>-1158</v>
      </c>
      <c r="Z12" s="381">
        <f t="shared" si="1"/>
        <v>30</v>
      </c>
      <c r="AA12" s="383">
        <f t="shared" si="11"/>
        <v>-1128</v>
      </c>
      <c r="AB12" s="380">
        <f t="shared" si="12"/>
        <v>112</v>
      </c>
      <c r="AC12" s="381">
        <f t="shared" si="12"/>
        <v>30</v>
      </c>
      <c r="AD12" s="382">
        <f t="shared" si="13"/>
        <v>142</v>
      </c>
      <c r="AE12" s="384">
        <v>112</v>
      </c>
      <c r="AF12" s="381">
        <v>30</v>
      </c>
      <c r="AG12" s="382">
        <v>142</v>
      </c>
    </row>
    <row r="13" spans="1:33" ht="20.25" customHeight="1" x14ac:dyDescent="0.2">
      <c r="A13" s="204" t="s">
        <v>1748</v>
      </c>
      <c r="B13" s="205" t="s">
        <v>1749</v>
      </c>
      <c r="C13" s="283" t="s">
        <v>1738</v>
      </c>
      <c r="D13" s="380"/>
      <c r="E13" s="381"/>
      <c r="F13" s="382">
        <f t="shared" si="2"/>
        <v>0</v>
      </c>
      <c r="G13" s="380">
        <f t="shared" si="3"/>
        <v>0</v>
      </c>
      <c r="H13" s="381">
        <f t="shared" si="3"/>
        <v>0</v>
      </c>
      <c r="I13" s="383">
        <f t="shared" si="6"/>
        <v>0</v>
      </c>
      <c r="J13" s="380">
        <v>0</v>
      </c>
      <c r="K13" s="381">
        <v>0</v>
      </c>
      <c r="L13" s="382">
        <f t="shared" si="4"/>
        <v>0</v>
      </c>
      <c r="M13" s="380">
        <v>635</v>
      </c>
      <c r="N13" s="381"/>
      <c r="O13" s="382">
        <f t="shared" si="7"/>
        <v>635</v>
      </c>
      <c r="P13" s="384">
        <f t="shared" si="5"/>
        <v>-616</v>
      </c>
      <c r="Q13" s="381">
        <f t="shared" si="5"/>
        <v>5</v>
      </c>
      <c r="R13" s="383">
        <f t="shared" si="8"/>
        <v>-611</v>
      </c>
      <c r="S13" s="380">
        <v>19</v>
      </c>
      <c r="T13" s="381">
        <v>5</v>
      </c>
      <c r="U13" s="382">
        <f t="shared" si="9"/>
        <v>24</v>
      </c>
      <c r="V13" s="380">
        <f t="shared" si="0"/>
        <v>635</v>
      </c>
      <c r="W13" s="381">
        <f t="shared" si="0"/>
        <v>0</v>
      </c>
      <c r="X13" s="382">
        <f t="shared" si="10"/>
        <v>635</v>
      </c>
      <c r="Y13" s="384">
        <f t="shared" si="1"/>
        <v>-616</v>
      </c>
      <c r="Z13" s="381">
        <f t="shared" si="1"/>
        <v>5</v>
      </c>
      <c r="AA13" s="383">
        <f t="shared" si="11"/>
        <v>-611</v>
      </c>
      <c r="AB13" s="380">
        <f t="shared" si="12"/>
        <v>19</v>
      </c>
      <c r="AC13" s="381">
        <f t="shared" si="12"/>
        <v>5</v>
      </c>
      <c r="AD13" s="382">
        <f t="shared" si="13"/>
        <v>24</v>
      </c>
      <c r="AE13" s="384">
        <v>19</v>
      </c>
      <c r="AF13" s="381">
        <v>5</v>
      </c>
      <c r="AG13" s="382">
        <v>24</v>
      </c>
    </row>
    <row r="14" spans="1:33" ht="20.25" customHeight="1" x14ac:dyDescent="0.2">
      <c r="A14" s="204" t="s">
        <v>1750</v>
      </c>
      <c r="B14" s="205" t="s">
        <v>1751</v>
      </c>
      <c r="C14" s="283" t="s">
        <v>1738</v>
      </c>
      <c r="D14" s="380"/>
      <c r="E14" s="381"/>
      <c r="F14" s="382">
        <f t="shared" si="2"/>
        <v>0</v>
      </c>
      <c r="G14" s="380">
        <f t="shared" si="3"/>
        <v>0</v>
      </c>
      <c r="H14" s="381">
        <f t="shared" si="3"/>
        <v>0</v>
      </c>
      <c r="I14" s="383">
        <f t="shared" si="6"/>
        <v>0</v>
      </c>
      <c r="J14" s="380">
        <v>0</v>
      </c>
      <c r="K14" s="381">
        <v>0</v>
      </c>
      <c r="L14" s="382">
        <f t="shared" si="4"/>
        <v>0</v>
      </c>
      <c r="M14" s="380">
        <v>10000</v>
      </c>
      <c r="N14" s="381"/>
      <c r="O14" s="382">
        <f t="shared" si="7"/>
        <v>10000</v>
      </c>
      <c r="P14" s="384">
        <f t="shared" si="5"/>
        <v>-9981</v>
      </c>
      <c r="Q14" s="381">
        <f t="shared" si="5"/>
        <v>5</v>
      </c>
      <c r="R14" s="383">
        <f t="shared" si="8"/>
        <v>-9976</v>
      </c>
      <c r="S14" s="380">
        <v>19</v>
      </c>
      <c r="T14" s="381">
        <v>5</v>
      </c>
      <c r="U14" s="382">
        <f t="shared" si="9"/>
        <v>24</v>
      </c>
      <c r="V14" s="380">
        <f t="shared" si="0"/>
        <v>10000</v>
      </c>
      <c r="W14" s="381">
        <f t="shared" si="0"/>
        <v>0</v>
      </c>
      <c r="X14" s="382">
        <f t="shared" si="10"/>
        <v>10000</v>
      </c>
      <c r="Y14" s="384">
        <f t="shared" si="1"/>
        <v>-9981</v>
      </c>
      <c r="Z14" s="381">
        <f t="shared" si="1"/>
        <v>5</v>
      </c>
      <c r="AA14" s="383">
        <f t="shared" si="11"/>
        <v>-9976</v>
      </c>
      <c r="AB14" s="380">
        <f t="shared" si="12"/>
        <v>19</v>
      </c>
      <c r="AC14" s="381">
        <f t="shared" si="12"/>
        <v>5</v>
      </c>
      <c r="AD14" s="382">
        <f t="shared" si="13"/>
        <v>24</v>
      </c>
      <c r="AE14" s="384">
        <v>19</v>
      </c>
      <c r="AF14" s="381">
        <v>5</v>
      </c>
      <c r="AG14" s="382">
        <v>24</v>
      </c>
    </row>
    <row r="15" spans="1:33" ht="20.25" customHeight="1" x14ac:dyDescent="0.2">
      <c r="A15" s="204"/>
      <c r="B15" s="205" t="s">
        <v>396</v>
      </c>
      <c r="C15" s="283" t="s">
        <v>1752</v>
      </c>
      <c r="D15" s="380"/>
      <c r="E15" s="381"/>
      <c r="F15" s="382">
        <f t="shared" si="2"/>
        <v>0</v>
      </c>
      <c r="G15" s="380">
        <f t="shared" si="3"/>
        <v>0</v>
      </c>
      <c r="H15" s="381">
        <f t="shared" si="3"/>
        <v>0</v>
      </c>
      <c r="I15" s="383">
        <f t="shared" si="6"/>
        <v>0</v>
      </c>
      <c r="J15" s="380">
        <v>0</v>
      </c>
      <c r="K15" s="381">
        <v>0</v>
      </c>
      <c r="L15" s="382">
        <f t="shared" si="4"/>
        <v>0</v>
      </c>
      <c r="M15" s="380"/>
      <c r="N15" s="381"/>
      <c r="O15" s="382">
        <f t="shared" si="7"/>
        <v>0</v>
      </c>
      <c r="P15" s="384">
        <f t="shared" si="5"/>
        <v>0</v>
      </c>
      <c r="Q15" s="381">
        <f t="shared" si="5"/>
        <v>0</v>
      </c>
      <c r="R15" s="383">
        <f t="shared" si="8"/>
        <v>0</v>
      </c>
      <c r="S15" s="380"/>
      <c r="T15" s="381"/>
      <c r="U15" s="382">
        <f t="shared" si="9"/>
        <v>0</v>
      </c>
      <c r="V15" s="380">
        <f t="shared" si="0"/>
        <v>0</v>
      </c>
      <c r="W15" s="381">
        <f t="shared" si="0"/>
        <v>0</v>
      </c>
      <c r="X15" s="382">
        <f t="shared" si="10"/>
        <v>0</v>
      </c>
      <c r="Y15" s="384">
        <f t="shared" si="1"/>
        <v>0</v>
      </c>
      <c r="Z15" s="381">
        <f t="shared" si="1"/>
        <v>0</v>
      </c>
      <c r="AA15" s="383">
        <f t="shared" si="11"/>
        <v>0</v>
      </c>
      <c r="AB15" s="380">
        <f t="shared" si="12"/>
        <v>0</v>
      </c>
      <c r="AC15" s="381">
        <f t="shared" si="12"/>
        <v>0</v>
      </c>
      <c r="AD15" s="382">
        <f t="shared" si="13"/>
        <v>0</v>
      </c>
      <c r="AE15" s="384">
        <v>0</v>
      </c>
      <c r="AF15" s="381">
        <v>0</v>
      </c>
      <c r="AG15" s="382">
        <v>0</v>
      </c>
    </row>
    <row r="16" spans="1:33" ht="20.25" customHeight="1" x14ac:dyDescent="0.2">
      <c r="A16" s="204" t="s">
        <v>1703</v>
      </c>
      <c r="B16" s="205" t="s">
        <v>396</v>
      </c>
      <c r="C16" s="283" t="s">
        <v>1753</v>
      </c>
      <c r="D16" s="380"/>
      <c r="E16" s="381"/>
      <c r="F16" s="382">
        <f t="shared" si="2"/>
        <v>0</v>
      </c>
      <c r="G16" s="380">
        <f t="shared" si="3"/>
        <v>357</v>
      </c>
      <c r="H16" s="381">
        <f t="shared" si="3"/>
        <v>96</v>
      </c>
      <c r="I16" s="383">
        <f t="shared" si="6"/>
        <v>453</v>
      </c>
      <c r="J16" s="380">
        <v>357</v>
      </c>
      <c r="K16" s="381">
        <v>96</v>
      </c>
      <c r="L16" s="382">
        <f t="shared" si="4"/>
        <v>453</v>
      </c>
      <c r="M16" s="380"/>
      <c r="N16" s="381"/>
      <c r="O16" s="382">
        <f t="shared" si="7"/>
        <v>0</v>
      </c>
      <c r="P16" s="384">
        <f t="shared" si="5"/>
        <v>0</v>
      </c>
      <c r="Q16" s="381">
        <f t="shared" si="5"/>
        <v>0</v>
      </c>
      <c r="R16" s="383">
        <f t="shared" si="8"/>
        <v>0</v>
      </c>
      <c r="S16" s="380"/>
      <c r="T16" s="381"/>
      <c r="U16" s="382">
        <f t="shared" si="9"/>
        <v>0</v>
      </c>
      <c r="V16" s="380">
        <f t="shared" si="0"/>
        <v>0</v>
      </c>
      <c r="W16" s="381">
        <f t="shared" si="0"/>
        <v>0</v>
      </c>
      <c r="X16" s="382">
        <f t="shared" si="10"/>
        <v>0</v>
      </c>
      <c r="Y16" s="384">
        <f t="shared" si="1"/>
        <v>357</v>
      </c>
      <c r="Z16" s="381">
        <f t="shared" si="1"/>
        <v>96</v>
      </c>
      <c r="AA16" s="383">
        <f t="shared" si="11"/>
        <v>453</v>
      </c>
      <c r="AB16" s="380">
        <f t="shared" si="12"/>
        <v>357</v>
      </c>
      <c r="AC16" s="381">
        <f t="shared" si="12"/>
        <v>96</v>
      </c>
      <c r="AD16" s="382">
        <f t="shared" si="13"/>
        <v>453</v>
      </c>
      <c r="AE16" s="384">
        <v>357</v>
      </c>
      <c r="AF16" s="381">
        <v>96</v>
      </c>
      <c r="AG16" s="382">
        <v>453</v>
      </c>
    </row>
    <row r="17" spans="1:33" ht="20.25" customHeight="1" x14ac:dyDescent="0.2">
      <c r="A17" s="204" t="s">
        <v>1754</v>
      </c>
      <c r="B17" s="205" t="s">
        <v>396</v>
      </c>
      <c r="C17" s="283" t="s">
        <v>1755</v>
      </c>
      <c r="D17" s="380"/>
      <c r="E17" s="381"/>
      <c r="F17" s="382">
        <f t="shared" si="2"/>
        <v>0</v>
      </c>
      <c r="G17" s="380">
        <f t="shared" si="3"/>
        <v>3990</v>
      </c>
      <c r="H17" s="381">
        <f t="shared" si="3"/>
        <v>1077</v>
      </c>
      <c r="I17" s="383">
        <f t="shared" si="6"/>
        <v>5067</v>
      </c>
      <c r="J17" s="380">
        <v>3990</v>
      </c>
      <c r="K17" s="381">
        <v>1077</v>
      </c>
      <c r="L17" s="382">
        <f t="shared" si="4"/>
        <v>5067</v>
      </c>
      <c r="M17" s="380"/>
      <c r="N17" s="381"/>
      <c r="O17" s="382">
        <f t="shared" si="7"/>
        <v>0</v>
      </c>
      <c r="P17" s="384">
        <f t="shared" si="5"/>
        <v>980</v>
      </c>
      <c r="Q17" s="381">
        <f t="shared" si="5"/>
        <v>265</v>
      </c>
      <c r="R17" s="383">
        <f t="shared" si="8"/>
        <v>1245</v>
      </c>
      <c r="S17" s="380">
        <v>980</v>
      </c>
      <c r="T17" s="381">
        <v>265</v>
      </c>
      <c r="U17" s="382">
        <f t="shared" si="9"/>
        <v>1245</v>
      </c>
      <c r="V17" s="380">
        <f t="shared" si="0"/>
        <v>0</v>
      </c>
      <c r="W17" s="381">
        <f t="shared" si="0"/>
        <v>0</v>
      </c>
      <c r="X17" s="382">
        <f t="shared" si="10"/>
        <v>0</v>
      </c>
      <c r="Y17" s="384">
        <f t="shared" si="1"/>
        <v>4970</v>
      </c>
      <c r="Z17" s="381">
        <f t="shared" si="1"/>
        <v>1342</v>
      </c>
      <c r="AA17" s="383">
        <f t="shared" si="11"/>
        <v>6312</v>
      </c>
      <c r="AB17" s="380">
        <f t="shared" si="12"/>
        <v>4970</v>
      </c>
      <c r="AC17" s="381">
        <f t="shared" si="12"/>
        <v>1342</v>
      </c>
      <c r="AD17" s="382">
        <f t="shared" si="13"/>
        <v>6312</v>
      </c>
      <c r="AE17" s="384">
        <v>4970</v>
      </c>
      <c r="AF17" s="381">
        <v>1342</v>
      </c>
      <c r="AG17" s="382">
        <v>6312</v>
      </c>
    </row>
    <row r="18" spans="1:33" ht="20.25" customHeight="1" x14ac:dyDescent="0.2">
      <c r="A18" s="204" t="s">
        <v>1742</v>
      </c>
      <c r="B18" s="205" t="s">
        <v>396</v>
      </c>
      <c r="C18" s="283" t="s">
        <v>1756</v>
      </c>
      <c r="D18" s="380"/>
      <c r="E18" s="381"/>
      <c r="F18" s="382">
        <f t="shared" si="2"/>
        <v>0</v>
      </c>
      <c r="G18" s="380">
        <f t="shared" si="3"/>
        <v>0</v>
      </c>
      <c r="H18" s="381">
        <f t="shared" si="3"/>
        <v>0</v>
      </c>
      <c r="I18" s="383">
        <f t="shared" si="6"/>
        <v>0</v>
      </c>
      <c r="J18" s="380">
        <v>0</v>
      </c>
      <c r="K18" s="381">
        <v>0</v>
      </c>
      <c r="L18" s="382">
        <f t="shared" si="4"/>
        <v>0</v>
      </c>
      <c r="M18" s="380"/>
      <c r="N18" s="381"/>
      <c r="O18" s="382">
        <f t="shared" si="7"/>
        <v>0</v>
      </c>
      <c r="P18" s="384">
        <f t="shared" si="5"/>
        <v>4000</v>
      </c>
      <c r="Q18" s="381">
        <f t="shared" si="5"/>
        <v>1080</v>
      </c>
      <c r="R18" s="383">
        <f t="shared" si="8"/>
        <v>5080</v>
      </c>
      <c r="S18" s="380">
        <v>4000</v>
      </c>
      <c r="T18" s="381">
        <v>1080</v>
      </c>
      <c r="U18" s="382">
        <f t="shared" si="9"/>
        <v>5080</v>
      </c>
      <c r="V18" s="380">
        <f t="shared" si="0"/>
        <v>0</v>
      </c>
      <c r="W18" s="381">
        <f t="shared" si="0"/>
        <v>0</v>
      </c>
      <c r="X18" s="382">
        <f t="shared" si="10"/>
        <v>0</v>
      </c>
      <c r="Y18" s="384">
        <f t="shared" si="1"/>
        <v>4000</v>
      </c>
      <c r="Z18" s="381">
        <f t="shared" si="1"/>
        <v>1080</v>
      </c>
      <c r="AA18" s="383">
        <f t="shared" si="11"/>
        <v>5080</v>
      </c>
      <c r="AB18" s="380">
        <f t="shared" si="12"/>
        <v>4000</v>
      </c>
      <c r="AC18" s="381">
        <f t="shared" si="12"/>
        <v>1080</v>
      </c>
      <c r="AD18" s="382">
        <f t="shared" si="13"/>
        <v>5080</v>
      </c>
      <c r="AE18" s="384">
        <v>4000</v>
      </c>
      <c r="AF18" s="381">
        <v>1080</v>
      </c>
      <c r="AG18" s="382">
        <v>5080</v>
      </c>
    </row>
    <row r="19" spans="1:33" ht="20.25" customHeight="1" x14ac:dyDescent="0.2">
      <c r="A19" s="204"/>
      <c r="B19" s="205" t="s">
        <v>396</v>
      </c>
      <c r="C19" s="283" t="s">
        <v>1757</v>
      </c>
      <c r="D19" s="380"/>
      <c r="E19" s="381"/>
      <c r="F19" s="382">
        <f t="shared" si="2"/>
        <v>0</v>
      </c>
      <c r="G19" s="380">
        <f t="shared" si="3"/>
        <v>0</v>
      </c>
      <c r="H19" s="381">
        <f t="shared" si="3"/>
        <v>0</v>
      </c>
      <c r="I19" s="383">
        <f t="shared" si="6"/>
        <v>0</v>
      </c>
      <c r="J19" s="380">
        <v>0</v>
      </c>
      <c r="K19" s="381">
        <v>0</v>
      </c>
      <c r="L19" s="382">
        <f t="shared" si="4"/>
        <v>0</v>
      </c>
      <c r="M19" s="380"/>
      <c r="N19" s="381"/>
      <c r="O19" s="382">
        <f t="shared" si="7"/>
        <v>0</v>
      </c>
      <c r="P19" s="384">
        <f t="shared" si="5"/>
        <v>0</v>
      </c>
      <c r="Q19" s="381">
        <f t="shared" si="5"/>
        <v>0</v>
      </c>
      <c r="R19" s="383">
        <f t="shared" si="8"/>
        <v>0</v>
      </c>
      <c r="S19" s="380"/>
      <c r="T19" s="381"/>
      <c r="U19" s="382">
        <f t="shared" si="9"/>
        <v>0</v>
      </c>
      <c r="V19" s="380">
        <f t="shared" si="0"/>
        <v>0</v>
      </c>
      <c r="W19" s="381">
        <f t="shared" si="0"/>
        <v>0</v>
      </c>
      <c r="X19" s="382">
        <f t="shared" si="10"/>
        <v>0</v>
      </c>
      <c r="Y19" s="384">
        <f t="shared" si="1"/>
        <v>0</v>
      </c>
      <c r="Z19" s="381">
        <f t="shared" si="1"/>
        <v>0</v>
      </c>
      <c r="AA19" s="383">
        <f t="shared" si="11"/>
        <v>0</v>
      </c>
      <c r="AB19" s="380">
        <f t="shared" si="12"/>
        <v>0</v>
      </c>
      <c r="AC19" s="381">
        <f t="shared" si="12"/>
        <v>0</v>
      </c>
      <c r="AD19" s="382">
        <f t="shared" si="13"/>
        <v>0</v>
      </c>
      <c r="AE19" s="384">
        <v>0</v>
      </c>
      <c r="AF19" s="381">
        <v>0</v>
      </c>
      <c r="AG19" s="382">
        <v>0</v>
      </c>
    </row>
    <row r="20" spans="1:33" ht="20.25" customHeight="1" x14ac:dyDescent="0.2">
      <c r="A20" s="204" t="s">
        <v>1758</v>
      </c>
      <c r="B20" s="205" t="s">
        <v>396</v>
      </c>
      <c r="C20" s="283" t="s">
        <v>1759</v>
      </c>
      <c r="D20" s="380"/>
      <c r="E20" s="381"/>
      <c r="F20" s="382">
        <f t="shared" si="2"/>
        <v>0</v>
      </c>
      <c r="G20" s="380">
        <f t="shared" si="3"/>
        <v>0</v>
      </c>
      <c r="H20" s="381">
        <f t="shared" si="3"/>
        <v>0</v>
      </c>
      <c r="I20" s="383">
        <f t="shared" si="6"/>
        <v>0</v>
      </c>
      <c r="J20" s="380">
        <v>0</v>
      </c>
      <c r="K20" s="381">
        <v>0</v>
      </c>
      <c r="L20" s="382">
        <f t="shared" si="4"/>
        <v>0</v>
      </c>
      <c r="M20" s="380"/>
      <c r="N20" s="381"/>
      <c r="O20" s="382">
        <f t="shared" si="7"/>
        <v>0</v>
      </c>
      <c r="P20" s="384">
        <f t="shared" si="5"/>
        <v>344</v>
      </c>
      <c r="Q20" s="381">
        <f t="shared" si="5"/>
        <v>93</v>
      </c>
      <c r="R20" s="383">
        <f t="shared" si="8"/>
        <v>437</v>
      </c>
      <c r="S20" s="380">
        <v>344</v>
      </c>
      <c r="T20" s="381">
        <v>93</v>
      </c>
      <c r="U20" s="382">
        <f t="shared" si="9"/>
        <v>437</v>
      </c>
      <c r="V20" s="380">
        <f t="shared" si="0"/>
        <v>0</v>
      </c>
      <c r="W20" s="381">
        <f t="shared" si="0"/>
        <v>0</v>
      </c>
      <c r="X20" s="382">
        <f t="shared" si="10"/>
        <v>0</v>
      </c>
      <c r="Y20" s="384">
        <f t="shared" si="1"/>
        <v>344</v>
      </c>
      <c r="Z20" s="381">
        <f t="shared" si="1"/>
        <v>93</v>
      </c>
      <c r="AA20" s="383">
        <f t="shared" si="11"/>
        <v>437</v>
      </c>
      <c r="AB20" s="380">
        <f t="shared" si="12"/>
        <v>344</v>
      </c>
      <c r="AC20" s="381">
        <f t="shared" si="12"/>
        <v>93</v>
      </c>
      <c r="AD20" s="382">
        <f t="shared" si="13"/>
        <v>437</v>
      </c>
      <c r="AE20" s="384">
        <v>344</v>
      </c>
      <c r="AF20" s="381">
        <v>93</v>
      </c>
      <c r="AG20" s="382">
        <v>437</v>
      </c>
    </row>
    <row r="21" spans="1:33" ht="20.25" customHeight="1" x14ac:dyDescent="0.2">
      <c r="A21" s="204" t="s">
        <v>1703</v>
      </c>
      <c r="B21" s="205" t="s">
        <v>396</v>
      </c>
      <c r="C21" s="283" t="s">
        <v>1760</v>
      </c>
      <c r="D21" s="380"/>
      <c r="E21" s="381"/>
      <c r="F21" s="382">
        <f t="shared" si="2"/>
        <v>0</v>
      </c>
      <c r="G21" s="380">
        <f t="shared" si="3"/>
        <v>7695</v>
      </c>
      <c r="H21" s="381">
        <f t="shared" si="3"/>
        <v>2078</v>
      </c>
      <c r="I21" s="383">
        <f t="shared" si="6"/>
        <v>9773</v>
      </c>
      <c r="J21" s="380">
        <v>7695</v>
      </c>
      <c r="K21" s="381">
        <v>2078</v>
      </c>
      <c r="L21" s="382">
        <f t="shared" si="4"/>
        <v>9773</v>
      </c>
      <c r="M21" s="380"/>
      <c r="N21" s="381"/>
      <c r="O21" s="382">
        <f t="shared" si="7"/>
        <v>0</v>
      </c>
      <c r="P21" s="384">
        <f t="shared" si="5"/>
        <v>0</v>
      </c>
      <c r="Q21" s="381">
        <f t="shared" si="5"/>
        <v>0</v>
      </c>
      <c r="R21" s="383">
        <f t="shared" si="8"/>
        <v>0</v>
      </c>
      <c r="S21" s="380"/>
      <c r="T21" s="381"/>
      <c r="U21" s="382">
        <f t="shared" si="9"/>
        <v>0</v>
      </c>
      <c r="V21" s="380">
        <f t="shared" si="0"/>
        <v>0</v>
      </c>
      <c r="W21" s="381">
        <f t="shared" si="0"/>
        <v>0</v>
      </c>
      <c r="X21" s="382">
        <f t="shared" si="10"/>
        <v>0</v>
      </c>
      <c r="Y21" s="384">
        <f t="shared" si="1"/>
        <v>7695</v>
      </c>
      <c r="Z21" s="381">
        <f t="shared" si="1"/>
        <v>2078</v>
      </c>
      <c r="AA21" s="383">
        <f t="shared" si="11"/>
        <v>9773</v>
      </c>
      <c r="AB21" s="380">
        <f t="shared" si="12"/>
        <v>7695</v>
      </c>
      <c r="AC21" s="381">
        <f t="shared" si="12"/>
        <v>2078</v>
      </c>
      <c r="AD21" s="382">
        <f t="shared" si="13"/>
        <v>9773</v>
      </c>
      <c r="AE21" s="384">
        <v>7695</v>
      </c>
      <c r="AF21" s="381">
        <v>2078</v>
      </c>
      <c r="AG21" s="382">
        <v>9773</v>
      </c>
    </row>
    <row r="22" spans="1:33" ht="20.25" hidden="1" customHeight="1" x14ac:dyDescent="0.2">
      <c r="A22" s="204"/>
      <c r="B22" s="205"/>
      <c r="C22" s="283"/>
      <c r="D22" s="380"/>
      <c r="E22" s="381"/>
      <c r="F22" s="382">
        <f t="shared" si="2"/>
        <v>0</v>
      </c>
      <c r="G22" s="380">
        <f t="shared" si="3"/>
        <v>0</v>
      </c>
      <c r="H22" s="381">
        <f t="shared" si="3"/>
        <v>0</v>
      </c>
      <c r="I22" s="383">
        <f t="shared" si="6"/>
        <v>0</v>
      </c>
      <c r="J22" s="380"/>
      <c r="K22" s="381"/>
      <c r="L22" s="382">
        <f t="shared" si="4"/>
        <v>0</v>
      </c>
      <c r="M22" s="380"/>
      <c r="N22" s="381"/>
      <c r="O22" s="382">
        <f t="shared" si="7"/>
        <v>0</v>
      </c>
      <c r="P22" s="384">
        <f t="shared" si="5"/>
        <v>0</v>
      </c>
      <c r="Q22" s="381">
        <f t="shared" si="5"/>
        <v>0</v>
      </c>
      <c r="R22" s="383">
        <f t="shared" si="8"/>
        <v>0</v>
      </c>
      <c r="S22" s="380"/>
      <c r="T22" s="381"/>
      <c r="U22" s="382">
        <f t="shared" si="9"/>
        <v>0</v>
      </c>
      <c r="V22" s="380">
        <f t="shared" si="0"/>
        <v>0</v>
      </c>
      <c r="W22" s="381">
        <f t="shared" si="0"/>
        <v>0</v>
      </c>
      <c r="X22" s="382">
        <f t="shared" si="10"/>
        <v>0</v>
      </c>
      <c r="Y22" s="384">
        <f t="shared" si="1"/>
        <v>0</v>
      </c>
      <c r="Z22" s="381">
        <f t="shared" si="1"/>
        <v>0</v>
      </c>
      <c r="AA22" s="383">
        <f t="shared" si="11"/>
        <v>0</v>
      </c>
      <c r="AB22" s="380">
        <f t="shared" si="12"/>
        <v>0</v>
      </c>
      <c r="AC22" s="381">
        <f t="shared" si="12"/>
        <v>0</v>
      </c>
      <c r="AD22" s="382">
        <f t="shared" si="13"/>
        <v>0</v>
      </c>
      <c r="AE22" s="384">
        <v>0</v>
      </c>
      <c r="AF22" s="381">
        <v>0</v>
      </c>
      <c r="AG22" s="382">
        <v>0</v>
      </c>
    </row>
    <row r="23" spans="1:33" ht="20.25" customHeight="1" x14ac:dyDescent="0.2">
      <c r="A23" s="204" t="s">
        <v>1758</v>
      </c>
      <c r="B23" s="205" t="s">
        <v>396</v>
      </c>
      <c r="C23" s="283" t="s">
        <v>1761</v>
      </c>
      <c r="D23" s="380"/>
      <c r="E23" s="381"/>
      <c r="F23" s="382">
        <f t="shared" si="2"/>
        <v>0</v>
      </c>
      <c r="G23" s="380">
        <f t="shared" si="3"/>
        <v>0</v>
      </c>
      <c r="H23" s="381">
        <f t="shared" si="3"/>
        <v>0</v>
      </c>
      <c r="I23" s="383">
        <f t="shared" si="6"/>
        <v>0</v>
      </c>
      <c r="J23" s="380">
        <v>0</v>
      </c>
      <c r="K23" s="381"/>
      <c r="L23" s="382">
        <f t="shared" si="4"/>
        <v>0</v>
      </c>
      <c r="M23" s="380">
        <v>1270</v>
      </c>
      <c r="N23" s="381"/>
      <c r="O23" s="382">
        <f t="shared" si="7"/>
        <v>1270</v>
      </c>
      <c r="P23" s="384">
        <f t="shared" si="5"/>
        <v>-770</v>
      </c>
      <c r="Q23" s="381">
        <f t="shared" si="5"/>
        <v>0</v>
      </c>
      <c r="R23" s="383">
        <f t="shared" si="8"/>
        <v>-770</v>
      </c>
      <c r="S23" s="380">
        <v>500</v>
      </c>
      <c r="T23" s="381"/>
      <c r="U23" s="382">
        <f t="shared" si="9"/>
        <v>500</v>
      </c>
      <c r="V23" s="380">
        <f t="shared" si="0"/>
        <v>1270</v>
      </c>
      <c r="W23" s="381">
        <f t="shared" si="0"/>
        <v>0</v>
      </c>
      <c r="X23" s="382">
        <f t="shared" si="10"/>
        <v>1270</v>
      </c>
      <c r="Y23" s="384">
        <f t="shared" si="1"/>
        <v>-770</v>
      </c>
      <c r="Z23" s="381">
        <f t="shared" si="1"/>
        <v>0</v>
      </c>
      <c r="AA23" s="383">
        <f t="shared" si="11"/>
        <v>-770</v>
      </c>
      <c r="AB23" s="380">
        <f t="shared" si="12"/>
        <v>500</v>
      </c>
      <c r="AC23" s="381">
        <f t="shared" si="12"/>
        <v>0</v>
      </c>
      <c r="AD23" s="382">
        <f t="shared" si="13"/>
        <v>500</v>
      </c>
      <c r="AE23" s="384">
        <v>500</v>
      </c>
      <c r="AF23" s="381">
        <v>0</v>
      </c>
      <c r="AG23" s="382">
        <v>500</v>
      </c>
    </row>
    <row r="24" spans="1:33" ht="20.25" customHeight="1" x14ac:dyDescent="0.2">
      <c r="A24" s="204" t="s">
        <v>1758</v>
      </c>
      <c r="B24" s="205" t="s">
        <v>396</v>
      </c>
      <c r="C24" s="283" t="s">
        <v>1762</v>
      </c>
      <c r="D24" s="380"/>
      <c r="E24" s="381"/>
      <c r="F24" s="382">
        <f t="shared" si="2"/>
        <v>0</v>
      </c>
      <c r="G24" s="380">
        <f t="shared" si="3"/>
        <v>0</v>
      </c>
      <c r="H24" s="381">
        <f t="shared" si="3"/>
        <v>0</v>
      </c>
      <c r="I24" s="383">
        <f t="shared" si="6"/>
        <v>0</v>
      </c>
      <c r="J24" s="380">
        <v>0</v>
      </c>
      <c r="K24" s="381">
        <v>0</v>
      </c>
      <c r="L24" s="382">
        <f t="shared" si="4"/>
        <v>0</v>
      </c>
      <c r="M24" s="380">
        <v>330</v>
      </c>
      <c r="N24" s="381"/>
      <c r="O24" s="382">
        <f t="shared" si="7"/>
        <v>330</v>
      </c>
      <c r="P24" s="384">
        <f t="shared" si="5"/>
        <v>-145</v>
      </c>
      <c r="Q24" s="381">
        <f t="shared" si="5"/>
        <v>50</v>
      </c>
      <c r="R24" s="383">
        <f t="shared" si="8"/>
        <v>-95</v>
      </c>
      <c r="S24" s="380">
        <v>185</v>
      </c>
      <c r="T24" s="381">
        <v>50</v>
      </c>
      <c r="U24" s="382">
        <f t="shared" si="9"/>
        <v>235</v>
      </c>
      <c r="V24" s="380">
        <f t="shared" si="0"/>
        <v>330</v>
      </c>
      <c r="W24" s="381">
        <f t="shared" si="0"/>
        <v>0</v>
      </c>
      <c r="X24" s="382">
        <f t="shared" si="10"/>
        <v>330</v>
      </c>
      <c r="Y24" s="384">
        <f t="shared" si="1"/>
        <v>-145</v>
      </c>
      <c r="Z24" s="381">
        <f t="shared" si="1"/>
        <v>50</v>
      </c>
      <c r="AA24" s="383">
        <f t="shared" si="11"/>
        <v>-95</v>
      </c>
      <c r="AB24" s="380">
        <f t="shared" si="12"/>
        <v>185</v>
      </c>
      <c r="AC24" s="381">
        <f t="shared" si="12"/>
        <v>50</v>
      </c>
      <c r="AD24" s="382">
        <f t="shared" si="13"/>
        <v>235</v>
      </c>
      <c r="AE24" s="384">
        <v>185</v>
      </c>
      <c r="AF24" s="381">
        <v>50</v>
      </c>
      <c r="AG24" s="382">
        <v>235</v>
      </c>
    </row>
    <row r="25" spans="1:33" ht="20.25" customHeight="1" x14ac:dyDescent="0.2">
      <c r="A25" s="204" t="s">
        <v>1763</v>
      </c>
      <c r="B25" s="205" t="s">
        <v>396</v>
      </c>
      <c r="C25" s="283" t="s">
        <v>1764</v>
      </c>
      <c r="D25" s="380">
        <v>384</v>
      </c>
      <c r="E25" s="381">
        <v>0</v>
      </c>
      <c r="F25" s="382">
        <f t="shared" si="2"/>
        <v>384</v>
      </c>
      <c r="G25" s="380">
        <f t="shared" si="3"/>
        <v>-250</v>
      </c>
      <c r="H25" s="381">
        <f t="shared" si="3"/>
        <v>36</v>
      </c>
      <c r="I25" s="383">
        <f t="shared" si="6"/>
        <v>-214</v>
      </c>
      <c r="J25" s="380">
        <v>134</v>
      </c>
      <c r="K25" s="381">
        <v>36</v>
      </c>
      <c r="L25" s="382">
        <f t="shared" si="4"/>
        <v>170</v>
      </c>
      <c r="M25" s="380"/>
      <c r="N25" s="381"/>
      <c r="O25" s="382">
        <f t="shared" si="7"/>
        <v>0</v>
      </c>
      <c r="P25" s="384">
        <f t="shared" si="5"/>
        <v>0</v>
      </c>
      <c r="Q25" s="381">
        <f t="shared" si="5"/>
        <v>0</v>
      </c>
      <c r="R25" s="383">
        <f t="shared" si="8"/>
        <v>0</v>
      </c>
      <c r="S25" s="380"/>
      <c r="T25" s="381"/>
      <c r="U25" s="382">
        <f t="shared" si="9"/>
        <v>0</v>
      </c>
      <c r="V25" s="380">
        <f t="shared" si="0"/>
        <v>384</v>
      </c>
      <c r="W25" s="381">
        <f t="shared" si="0"/>
        <v>0</v>
      </c>
      <c r="X25" s="382">
        <f t="shared" si="10"/>
        <v>384</v>
      </c>
      <c r="Y25" s="384">
        <f t="shared" si="1"/>
        <v>-250</v>
      </c>
      <c r="Z25" s="381">
        <f t="shared" si="1"/>
        <v>36</v>
      </c>
      <c r="AA25" s="383">
        <f t="shared" si="11"/>
        <v>-214</v>
      </c>
      <c r="AB25" s="380">
        <f t="shared" si="12"/>
        <v>134</v>
      </c>
      <c r="AC25" s="381">
        <f t="shared" si="12"/>
        <v>36</v>
      </c>
      <c r="AD25" s="382">
        <f t="shared" si="13"/>
        <v>170</v>
      </c>
      <c r="AE25" s="384">
        <v>134</v>
      </c>
      <c r="AF25" s="381">
        <v>36</v>
      </c>
      <c r="AG25" s="382">
        <v>170</v>
      </c>
    </row>
    <row r="26" spans="1:33" ht="20.25" customHeight="1" x14ac:dyDescent="0.2">
      <c r="A26" s="204" t="s">
        <v>1748</v>
      </c>
      <c r="B26" s="205" t="s">
        <v>396</v>
      </c>
      <c r="C26" s="283" t="s">
        <v>1765</v>
      </c>
      <c r="D26" s="380"/>
      <c r="E26" s="381"/>
      <c r="F26" s="382">
        <f t="shared" si="2"/>
        <v>0</v>
      </c>
      <c r="G26" s="380">
        <f t="shared" si="3"/>
        <v>0</v>
      </c>
      <c r="H26" s="381">
        <f t="shared" si="3"/>
        <v>0</v>
      </c>
      <c r="I26" s="383">
        <f t="shared" si="6"/>
        <v>0</v>
      </c>
      <c r="J26" s="380">
        <v>0</v>
      </c>
      <c r="K26" s="381">
        <v>0</v>
      </c>
      <c r="L26" s="382">
        <f t="shared" si="4"/>
        <v>0</v>
      </c>
      <c r="M26" s="380">
        <v>200</v>
      </c>
      <c r="N26" s="381"/>
      <c r="O26" s="382">
        <f t="shared" si="7"/>
        <v>200</v>
      </c>
      <c r="P26" s="384">
        <f t="shared" si="5"/>
        <v>-123</v>
      </c>
      <c r="Q26" s="381">
        <f t="shared" si="5"/>
        <v>21</v>
      </c>
      <c r="R26" s="383">
        <f t="shared" si="8"/>
        <v>-102</v>
      </c>
      <c r="S26" s="380">
        <v>77</v>
      </c>
      <c r="T26" s="381">
        <v>21</v>
      </c>
      <c r="U26" s="382">
        <f t="shared" si="9"/>
        <v>98</v>
      </c>
      <c r="V26" s="380">
        <f t="shared" si="0"/>
        <v>200</v>
      </c>
      <c r="W26" s="381">
        <f t="shared" si="0"/>
        <v>0</v>
      </c>
      <c r="X26" s="382">
        <f t="shared" si="10"/>
        <v>200</v>
      </c>
      <c r="Y26" s="384">
        <f t="shared" si="1"/>
        <v>-123</v>
      </c>
      <c r="Z26" s="381">
        <f t="shared" si="1"/>
        <v>21</v>
      </c>
      <c r="AA26" s="383">
        <f t="shared" si="11"/>
        <v>-102</v>
      </c>
      <c r="AB26" s="380">
        <f t="shared" si="12"/>
        <v>77</v>
      </c>
      <c r="AC26" s="381">
        <f t="shared" si="12"/>
        <v>21</v>
      </c>
      <c r="AD26" s="382">
        <f t="shared" si="13"/>
        <v>98</v>
      </c>
      <c r="AE26" s="384">
        <v>77</v>
      </c>
      <c r="AF26" s="381">
        <v>21</v>
      </c>
      <c r="AG26" s="382">
        <v>98</v>
      </c>
    </row>
    <row r="27" spans="1:33" ht="20.25" customHeight="1" x14ac:dyDescent="0.2">
      <c r="A27" s="204" t="s">
        <v>1701</v>
      </c>
      <c r="B27" s="205" t="s">
        <v>396</v>
      </c>
      <c r="C27" s="283" t="s">
        <v>1766</v>
      </c>
      <c r="D27" s="380"/>
      <c r="E27" s="381"/>
      <c r="F27" s="382">
        <f t="shared" si="2"/>
        <v>0</v>
      </c>
      <c r="G27" s="380">
        <f t="shared" si="3"/>
        <v>481</v>
      </c>
      <c r="H27" s="381">
        <f t="shared" si="3"/>
        <v>0</v>
      </c>
      <c r="I27" s="383">
        <f t="shared" si="6"/>
        <v>481</v>
      </c>
      <c r="J27" s="380">
        <v>481</v>
      </c>
      <c r="K27" s="381"/>
      <c r="L27" s="382">
        <f t="shared" si="4"/>
        <v>481</v>
      </c>
      <c r="M27" s="380"/>
      <c r="N27" s="381"/>
      <c r="O27" s="382">
        <f t="shared" si="7"/>
        <v>0</v>
      </c>
      <c r="P27" s="384">
        <f t="shared" si="5"/>
        <v>0</v>
      </c>
      <c r="Q27" s="381">
        <f t="shared" si="5"/>
        <v>0</v>
      </c>
      <c r="R27" s="383">
        <f t="shared" si="8"/>
        <v>0</v>
      </c>
      <c r="S27" s="380"/>
      <c r="T27" s="381"/>
      <c r="U27" s="382">
        <f t="shared" si="9"/>
        <v>0</v>
      </c>
      <c r="V27" s="380">
        <f t="shared" si="0"/>
        <v>0</v>
      </c>
      <c r="W27" s="381">
        <f t="shared" si="0"/>
        <v>0</v>
      </c>
      <c r="X27" s="382">
        <f t="shared" si="10"/>
        <v>0</v>
      </c>
      <c r="Y27" s="384">
        <f t="shared" si="1"/>
        <v>481</v>
      </c>
      <c r="Z27" s="381">
        <f t="shared" si="1"/>
        <v>0</v>
      </c>
      <c r="AA27" s="383">
        <f t="shared" si="11"/>
        <v>481</v>
      </c>
      <c r="AB27" s="380">
        <f t="shared" si="12"/>
        <v>481</v>
      </c>
      <c r="AC27" s="381">
        <f t="shared" si="12"/>
        <v>0</v>
      </c>
      <c r="AD27" s="382">
        <f t="shared" si="13"/>
        <v>481</v>
      </c>
      <c r="AE27" s="384">
        <v>481</v>
      </c>
      <c r="AF27" s="381">
        <v>0</v>
      </c>
      <c r="AG27" s="382">
        <v>481</v>
      </c>
    </row>
    <row r="28" spans="1:33" ht="20.25" hidden="1" customHeight="1" x14ac:dyDescent="0.2">
      <c r="A28" s="204"/>
      <c r="B28" s="205"/>
      <c r="C28" s="283"/>
      <c r="D28" s="380"/>
      <c r="E28" s="381"/>
      <c r="F28" s="382">
        <f t="shared" si="2"/>
        <v>0</v>
      </c>
      <c r="G28" s="380">
        <f t="shared" si="3"/>
        <v>0</v>
      </c>
      <c r="H28" s="381">
        <f t="shared" si="3"/>
        <v>0</v>
      </c>
      <c r="I28" s="383">
        <f t="shared" si="6"/>
        <v>0</v>
      </c>
      <c r="J28" s="380"/>
      <c r="K28" s="381"/>
      <c r="L28" s="382">
        <f t="shared" si="4"/>
        <v>0</v>
      </c>
      <c r="M28" s="380"/>
      <c r="N28" s="381"/>
      <c r="O28" s="382">
        <f t="shared" si="7"/>
        <v>0</v>
      </c>
      <c r="P28" s="384">
        <f t="shared" si="5"/>
        <v>0</v>
      </c>
      <c r="Q28" s="381">
        <f t="shared" si="5"/>
        <v>0</v>
      </c>
      <c r="R28" s="383">
        <f t="shared" si="8"/>
        <v>0</v>
      </c>
      <c r="S28" s="380"/>
      <c r="T28" s="381"/>
      <c r="U28" s="382">
        <f t="shared" si="9"/>
        <v>0</v>
      </c>
      <c r="V28" s="380">
        <f t="shared" si="0"/>
        <v>0</v>
      </c>
      <c r="W28" s="381">
        <f t="shared" si="0"/>
        <v>0</v>
      </c>
      <c r="X28" s="382">
        <f t="shared" si="10"/>
        <v>0</v>
      </c>
      <c r="Y28" s="384">
        <f t="shared" si="1"/>
        <v>0</v>
      </c>
      <c r="Z28" s="381">
        <f t="shared" si="1"/>
        <v>0</v>
      </c>
      <c r="AA28" s="383">
        <f t="shared" si="11"/>
        <v>0</v>
      </c>
      <c r="AB28" s="380">
        <f t="shared" si="12"/>
        <v>0</v>
      </c>
      <c r="AC28" s="381">
        <f t="shared" si="12"/>
        <v>0</v>
      </c>
      <c r="AD28" s="382">
        <f t="shared" si="13"/>
        <v>0</v>
      </c>
      <c r="AE28" s="384">
        <v>0</v>
      </c>
      <c r="AF28" s="381">
        <v>0</v>
      </c>
      <c r="AG28" s="382">
        <v>0</v>
      </c>
    </row>
    <row r="29" spans="1:33" ht="20.25" hidden="1" customHeight="1" x14ac:dyDescent="0.2">
      <c r="A29" s="204"/>
      <c r="B29" s="205"/>
      <c r="C29" s="283"/>
      <c r="D29" s="380"/>
      <c r="E29" s="381"/>
      <c r="F29" s="382">
        <f t="shared" si="2"/>
        <v>0</v>
      </c>
      <c r="G29" s="380">
        <f t="shared" si="3"/>
        <v>0</v>
      </c>
      <c r="H29" s="381">
        <f t="shared" si="3"/>
        <v>0</v>
      </c>
      <c r="I29" s="383">
        <f t="shared" si="6"/>
        <v>0</v>
      </c>
      <c r="J29" s="380"/>
      <c r="K29" s="381"/>
      <c r="L29" s="382">
        <f t="shared" si="4"/>
        <v>0</v>
      </c>
      <c r="M29" s="380"/>
      <c r="N29" s="381"/>
      <c r="O29" s="382">
        <f t="shared" si="7"/>
        <v>0</v>
      </c>
      <c r="P29" s="384">
        <f t="shared" si="5"/>
        <v>0</v>
      </c>
      <c r="Q29" s="381">
        <f t="shared" si="5"/>
        <v>0</v>
      </c>
      <c r="R29" s="383">
        <f t="shared" si="8"/>
        <v>0</v>
      </c>
      <c r="S29" s="380"/>
      <c r="T29" s="381"/>
      <c r="U29" s="382">
        <f t="shared" si="9"/>
        <v>0</v>
      </c>
      <c r="V29" s="380">
        <f t="shared" si="0"/>
        <v>0</v>
      </c>
      <c r="W29" s="381">
        <f t="shared" si="0"/>
        <v>0</v>
      </c>
      <c r="X29" s="382">
        <f t="shared" si="10"/>
        <v>0</v>
      </c>
      <c r="Y29" s="384">
        <f t="shared" si="1"/>
        <v>0</v>
      </c>
      <c r="Z29" s="381">
        <f t="shared" si="1"/>
        <v>0</v>
      </c>
      <c r="AA29" s="383">
        <f t="shared" si="11"/>
        <v>0</v>
      </c>
      <c r="AB29" s="380">
        <f t="shared" si="12"/>
        <v>0</v>
      </c>
      <c r="AC29" s="381">
        <f t="shared" si="12"/>
        <v>0</v>
      </c>
      <c r="AD29" s="382">
        <f t="shared" si="13"/>
        <v>0</v>
      </c>
      <c r="AE29" s="384">
        <v>0</v>
      </c>
      <c r="AF29" s="381">
        <v>0</v>
      </c>
      <c r="AG29" s="382">
        <v>0</v>
      </c>
    </row>
    <row r="30" spans="1:33" ht="20.25" hidden="1" customHeight="1" x14ac:dyDescent="0.2">
      <c r="A30" s="204"/>
      <c r="B30" s="205"/>
      <c r="C30" s="283"/>
      <c r="D30" s="380"/>
      <c r="E30" s="381"/>
      <c r="F30" s="382">
        <f t="shared" si="2"/>
        <v>0</v>
      </c>
      <c r="G30" s="380">
        <f t="shared" si="3"/>
        <v>0</v>
      </c>
      <c r="H30" s="381">
        <f t="shared" si="3"/>
        <v>0</v>
      </c>
      <c r="I30" s="383">
        <f t="shared" si="6"/>
        <v>0</v>
      </c>
      <c r="J30" s="380"/>
      <c r="K30" s="381"/>
      <c r="L30" s="382">
        <f t="shared" si="4"/>
        <v>0</v>
      </c>
      <c r="M30" s="380"/>
      <c r="N30" s="381"/>
      <c r="O30" s="382">
        <f t="shared" si="7"/>
        <v>0</v>
      </c>
      <c r="P30" s="384">
        <f t="shared" si="5"/>
        <v>0</v>
      </c>
      <c r="Q30" s="381">
        <f t="shared" si="5"/>
        <v>0</v>
      </c>
      <c r="R30" s="383">
        <f t="shared" si="8"/>
        <v>0</v>
      </c>
      <c r="S30" s="380"/>
      <c r="T30" s="381"/>
      <c r="U30" s="382">
        <f t="shared" si="9"/>
        <v>0</v>
      </c>
      <c r="V30" s="380">
        <f t="shared" si="0"/>
        <v>0</v>
      </c>
      <c r="W30" s="381">
        <f t="shared" si="0"/>
        <v>0</v>
      </c>
      <c r="X30" s="382">
        <f t="shared" si="10"/>
        <v>0</v>
      </c>
      <c r="Y30" s="384">
        <f t="shared" si="1"/>
        <v>0</v>
      </c>
      <c r="Z30" s="381">
        <f t="shared" si="1"/>
        <v>0</v>
      </c>
      <c r="AA30" s="383">
        <f t="shared" si="11"/>
        <v>0</v>
      </c>
      <c r="AB30" s="380">
        <f t="shared" si="12"/>
        <v>0</v>
      </c>
      <c r="AC30" s="381">
        <f t="shared" si="12"/>
        <v>0</v>
      </c>
      <c r="AD30" s="382">
        <f t="shared" si="13"/>
        <v>0</v>
      </c>
      <c r="AE30" s="384">
        <v>0</v>
      </c>
      <c r="AF30" s="381">
        <v>0</v>
      </c>
      <c r="AG30" s="382">
        <v>0</v>
      </c>
    </row>
    <row r="31" spans="1:33" ht="20.25" hidden="1" customHeight="1" x14ac:dyDescent="0.2">
      <c r="A31" s="204"/>
      <c r="B31" s="205"/>
      <c r="C31" s="283"/>
      <c r="D31" s="380"/>
      <c r="E31" s="381"/>
      <c r="F31" s="382">
        <f t="shared" si="2"/>
        <v>0</v>
      </c>
      <c r="G31" s="380">
        <f t="shared" si="3"/>
        <v>0</v>
      </c>
      <c r="H31" s="381">
        <f t="shared" si="3"/>
        <v>0</v>
      </c>
      <c r="I31" s="383">
        <f t="shared" si="6"/>
        <v>0</v>
      </c>
      <c r="J31" s="380"/>
      <c r="K31" s="381"/>
      <c r="L31" s="382">
        <f t="shared" si="4"/>
        <v>0</v>
      </c>
      <c r="M31" s="380"/>
      <c r="N31" s="381"/>
      <c r="O31" s="382">
        <f t="shared" si="7"/>
        <v>0</v>
      </c>
      <c r="P31" s="384">
        <f t="shared" si="5"/>
        <v>0</v>
      </c>
      <c r="Q31" s="381">
        <f t="shared" si="5"/>
        <v>0</v>
      </c>
      <c r="R31" s="383">
        <f t="shared" si="8"/>
        <v>0</v>
      </c>
      <c r="S31" s="380"/>
      <c r="T31" s="381"/>
      <c r="U31" s="382">
        <f t="shared" si="9"/>
        <v>0</v>
      </c>
      <c r="V31" s="380">
        <f t="shared" si="0"/>
        <v>0</v>
      </c>
      <c r="W31" s="381">
        <f t="shared" si="0"/>
        <v>0</v>
      </c>
      <c r="X31" s="382">
        <f t="shared" si="10"/>
        <v>0</v>
      </c>
      <c r="Y31" s="384">
        <f t="shared" si="1"/>
        <v>0</v>
      </c>
      <c r="Z31" s="381">
        <f t="shared" si="1"/>
        <v>0</v>
      </c>
      <c r="AA31" s="383">
        <f t="shared" si="11"/>
        <v>0</v>
      </c>
      <c r="AB31" s="380">
        <f t="shared" si="12"/>
        <v>0</v>
      </c>
      <c r="AC31" s="381">
        <f t="shared" si="12"/>
        <v>0</v>
      </c>
      <c r="AD31" s="382">
        <f t="shared" si="13"/>
        <v>0</v>
      </c>
      <c r="AE31" s="384">
        <v>0</v>
      </c>
      <c r="AF31" s="381">
        <v>0</v>
      </c>
      <c r="AG31" s="382">
        <v>0</v>
      </c>
    </row>
    <row r="32" spans="1:33" ht="20.25" hidden="1" customHeight="1" x14ac:dyDescent="0.2">
      <c r="A32" s="204"/>
      <c r="B32" s="205"/>
      <c r="C32" s="283"/>
      <c r="D32" s="380"/>
      <c r="E32" s="381"/>
      <c r="F32" s="382">
        <f t="shared" si="2"/>
        <v>0</v>
      </c>
      <c r="G32" s="380">
        <f t="shared" si="3"/>
        <v>0</v>
      </c>
      <c r="H32" s="381">
        <f t="shared" si="3"/>
        <v>0</v>
      </c>
      <c r="I32" s="383">
        <f t="shared" si="6"/>
        <v>0</v>
      </c>
      <c r="J32" s="380"/>
      <c r="K32" s="381"/>
      <c r="L32" s="382">
        <f t="shared" si="4"/>
        <v>0</v>
      </c>
      <c r="M32" s="380"/>
      <c r="N32" s="381"/>
      <c r="O32" s="382">
        <f t="shared" si="7"/>
        <v>0</v>
      </c>
      <c r="P32" s="384">
        <f t="shared" si="5"/>
        <v>0</v>
      </c>
      <c r="Q32" s="381">
        <f t="shared" si="5"/>
        <v>0</v>
      </c>
      <c r="R32" s="383">
        <f t="shared" si="8"/>
        <v>0</v>
      </c>
      <c r="S32" s="380"/>
      <c r="T32" s="381"/>
      <c r="U32" s="382">
        <f t="shared" si="9"/>
        <v>0</v>
      </c>
      <c r="V32" s="380">
        <f t="shared" si="0"/>
        <v>0</v>
      </c>
      <c r="W32" s="381">
        <f t="shared" si="0"/>
        <v>0</v>
      </c>
      <c r="X32" s="382">
        <f t="shared" si="10"/>
        <v>0</v>
      </c>
      <c r="Y32" s="384">
        <f t="shared" si="1"/>
        <v>0</v>
      </c>
      <c r="Z32" s="381">
        <f t="shared" si="1"/>
        <v>0</v>
      </c>
      <c r="AA32" s="383">
        <f t="shared" si="11"/>
        <v>0</v>
      </c>
      <c r="AB32" s="380">
        <f t="shared" si="12"/>
        <v>0</v>
      </c>
      <c r="AC32" s="381">
        <f t="shared" si="12"/>
        <v>0</v>
      </c>
      <c r="AD32" s="382">
        <f t="shared" si="13"/>
        <v>0</v>
      </c>
      <c r="AE32" s="384">
        <v>0</v>
      </c>
      <c r="AF32" s="381">
        <v>0</v>
      </c>
      <c r="AG32" s="382">
        <v>0</v>
      </c>
    </row>
    <row r="33" spans="1:33" ht="20.25" hidden="1" customHeight="1" x14ac:dyDescent="0.2">
      <c r="A33" s="204"/>
      <c r="B33" s="205"/>
      <c r="C33" s="283"/>
      <c r="D33" s="380"/>
      <c r="E33" s="381"/>
      <c r="F33" s="382">
        <f t="shared" si="2"/>
        <v>0</v>
      </c>
      <c r="G33" s="380">
        <f t="shared" si="3"/>
        <v>0</v>
      </c>
      <c r="H33" s="381">
        <f t="shared" si="3"/>
        <v>0</v>
      </c>
      <c r="I33" s="383">
        <f t="shared" si="6"/>
        <v>0</v>
      </c>
      <c r="J33" s="380"/>
      <c r="K33" s="381"/>
      <c r="L33" s="382">
        <f t="shared" si="4"/>
        <v>0</v>
      </c>
      <c r="M33" s="380"/>
      <c r="N33" s="381"/>
      <c r="O33" s="382">
        <f t="shared" si="7"/>
        <v>0</v>
      </c>
      <c r="P33" s="384">
        <f t="shared" si="5"/>
        <v>0</v>
      </c>
      <c r="Q33" s="381">
        <f t="shared" si="5"/>
        <v>0</v>
      </c>
      <c r="R33" s="383">
        <f t="shared" si="8"/>
        <v>0</v>
      </c>
      <c r="S33" s="380"/>
      <c r="T33" s="381"/>
      <c r="U33" s="382">
        <f t="shared" si="9"/>
        <v>0</v>
      </c>
      <c r="V33" s="380">
        <f t="shared" si="0"/>
        <v>0</v>
      </c>
      <c r="W33" s="381">
        <f t="shared" si="0"/>
        <v>0</v>
      </c>
      <c r="X33" s="382">
        <f t="shared" si="10"/>
        <v>0</v>
      </c>
      <c r="Y33" s="384">
        <f t="shared" si="1"/>
        <v>0</v>
      </c>
      <c r="Z33" s="381">
        <f t="shared" si="1"/>
        <v>0</v>
      </c>
      <c r="AA33" s="383">
        <f t="shared" si="11"/>
        <v>0</v>
      </c>
      <c r="AB33" s="380">
        <f t="shared" si="12"/>
        <v>0</v>
      </c>
      <c r="AC33" s="381">
        <f t="shared" si="12"/>
        <v>0</v>
      </c>
      <c r="AD33" s="382">
        <f t="shared" si="13"/>
        <v>0</v>
      </c>
      <c r="AE33" s="384">
        <v>0</v>
      </c>
      <c r="AF33" s="381">
        <v>0</v>
      </c>
      <c r="AG33" s="382">
        <v>0</v>
      </c>
    </row>
    <row r="34" spans="1:33" ht="20.25" hidden="1" customHeight="1" x14ac:dyDescent="0.2">
      <c r="A34" s="204"/>
      <c r="B34" s="205"/>
      <c r="C34" s="283"/>
      <c r="D34" s="380"/>
      <c r="E34" s="381"/>
      <c r="F34" s="382">
        <f t="shared" si="2"/>
        <v>0</v>
      </c>
      <c r="G34" s="380">
        <f t="shared" si="3"/>
        <v>0</v>
      </c>
      <c r="H34" s="381">
        <f t="shared" si="3"/>
        <v>0</v>
      </c>
      <c r="I34" s="383">
        <f t="shared" si="6"/>
        <v>0</v>
      </c>
      <c r="J34" s="380"/>
      <c r="K34" s="381"/>
      <c r="L34" s="382">
        <f t="shared" si="4"/>
        <v>0</v>
      </c>
      <c r="M34" s="380"/>
      <c r="N34" s="381"/>
      <c r="O34" s="382">
        <f t="shared" si="7"/>
        <v>0</v>
      </c>
      <c r="P34" s="384">
        <f t="shared" si="5"/>
        <v>0</v>
      </c>
      <c r="Q34" s="381">
        <f t="shared" si="5"/>
        <v>0</v>
      </c>
      <c r="R34" s="383">
        <f t="shared" si="8"/>
        <v>0</v>
      </c>
      <c r="S34" s="380"/>
      <c r="T34" s="381"/>
      <c r="U34" s="382">
        <f t="shared" si="9"/>
        <v>0</v>
      </c>
      <c r="V34" s="380">
        <f t="shared" si="0"/>
        <v>0</v>
      </c>
      <c r="W34" s="381">
        <f t="shared" si="0"/>
        <v>0</v>
      </c>
      <c r="X34" s="382">
        <f t="shared" si="10"/>
        <v>0</v>
      </c>
      <c r="Y34" s="384">
        <f t="shared" si="1"/>
        <v>0</v>
      </c>
      <c r="Z34" s="381">
        <f t="shared" si="1"/>
        <v>0</v>
      </c>
      <c r="AA34" s="383">
        <f t="shared" si="11"/>
        <v>0</v>
      </c>
      <c r="AB34" s="380">
        <f t="shared" si="12"/>
        <v>0</v>
      </c>
      <c r="AC34" s="381">
        <f t="shared" si="12"/>
        <v>0</v>
      </c>
      <c r="AD34" s="382">
        <f t="shared" si="13"/>
        <v>0</v>
      </c>
      <c r="AE34" s="384">
        <v>0</v>
      </c>
      <c r="AF34" s="381">
        <v>0</v>
      </c>
      <c r="AG34" s="382">
        <v>0</v>
      </c>
    </row>
    <row r="35" spans="1:33" ht="20.25" customHeight="1" x14ac:dyDescent="0.2">
      <c r="A35" s="204"/>
      <c r="B35" s="205" t="s">
        <v>396</v>
      </c>
      <c r="C35" s="283" t="s">
        <v>1767</v>
      </c>
      <c r="D35" s="380">
        <v>1505</v>
      </c>
      <c r="E35" s="381"/>
      <c r="F35" s="382">
        <f t="shared" si="2"/>
        <v>1505</v>
      </c>
      <c r="G35" s="380">
        <f t="shared" si="3"/>
        <v>-1505</v>
      </c>
      <c r="H35" s="381">
        <f t="shared" si="3"/>
        <v>0</v>
      </c>
      <c r="I35" s="383">
        <f t="shared" si="6"/>
        <v>-1505</v>
      </c>
      <c r="J35" s="380"/>
      <c r="K35" s="381"/>
      <c r="L35" s="382">
        <f t="shared" si="4"/>
        <v>0</v>
      </c>
      <c r="M35" s="380">
        <v>495</v>
      </c>
      <c r="N35" s="381"/>
      <c r="O35" s="382">
        <f t="shared" si="7"/>
        <v>495</v>
      </c>
      <c r="P35" s="384">
        <f t="shared" si="5"/>
        <v>-495</v>
      </c>
      <c r="Q35" s="381">
        <f t="shared" si="5"/>
        <v>0</v>
      </c>
      <c r="R35" s="383">
        <f t="shared" si="8"/>
        <v>-495</v>
      </c>
      <c r="S35" s="380"/>
      <c r="T35" s="381"/>
      <c r="U35" s="382">
        <f t="shared" si="9"/>
        <v>0</v>
      </c>
      <c r="V35" s="380">
        <f t="shared" si="0"/>
        <v>2000</v>
      </c>
      <c r="W35" s="381">
        <f t="shared" si="0"/>
        <v>0</v>
      </c>
      <c r="X35" s="382">
        <f t="shared" si="10"/>
        <v>2000</v>
      </c>
      <c r="Y35" s="384">
        <f t="shared" si="1"/>
        <v>-2000</v>
      </c>
      <c r="Z35" s="381">
        <f t="shared" si="1"/>
        <v>0</v>
      </c>
      <c r="AA35" s="383">
        <f t="shared" si="11"/>
        <v>-2000</v>
      </c>
      <c r="AB35" s="380">
        <f t="shared" si="12"/>
        <v>0</v>
      </c>
      <c r="AC35" s="381">
        <f t="shared" si="12"/>
        <v>0</v>
      </c>
      <c r="AD35" s="382">
        <f t="shared" si="13"/>
        <v>0</v>
      </c>
      <c r="AE35" s="384">
        <v>0</v>
      </c>
      <c r="AF35" s="381">
        <v>0</v>
      </c>
      <c r="AG35" s="382">
        <v>0</v>
      </c>
    </row>
    <row r="36" spans="1:33" ht="20.25" customHeight="1" x14ac:dyDescent="0.2">
      <c r="A36" s="204" t="s">
        <v>1750</v>
      </c>
      <c r="B36" s="205" t="s">
        <v>396</v>
      </c>
      <c r="C36" s="283" t="s">
        <v>1768</v>
      </c>
      <c r="D36" s="380"/>
      <c r="E36" s="381"/>
      <c r="F36" s="382">
        <f t="shared" si="2"/>
        <v>0</v>
      </c>
      <c r="G36" s="380">
        <f t="shared" si="3"/>
        <v>0</v>
      </c>
      <c r="H36" s="381">
        <f t="shared" si="3"/>
        <v>0</v>
      </c>
      <c r="I36" s="383">
        <f t="shared" si="6"/>
        <v>0</v>
      </c>
      <c r="J36" s="380">
        <v>0</v>
      </c>
      <c r="K36" s="381">
        <v>0</v>
      </c>
      <c r="L36" s="382">
        <f t="shared" si="4"/>
        <v>0</v>
      </c>
      <c r="M36" s="380">
        <v>600</v>
      </c>
      <c r="N36" s="381"/>
      <c r="O36" s="382">
        <f t="shared" si="7"/>
        <v>600</v>
      </c>
      <c r="P36" s="384">
        <f t="shared" si="5"/>
        <v>-236</v>
      </c>
      <c r="Q36" s="381">
        <f t="shared" si="5"/>
        <v>99</v>
      </c>
      <c r="R36" s="383">
        <f t="shared" si="8"/>
        <v>-137</v>
      </c>
      <c r="S36" s="380">
        <v>364</v>
      </c>
      <c r="T36" s="381">
        <v>99</v>
      </c>
      <c r="U36" s="382">
        <f t="shared" si="9"/>
        <v>463</v>
      </c>
      <c r="V36" s="380">
        <f t="shared" ref="V36:W67" si="14">+D36+M36</f>
        <v>600</v>
      </c>
      <c r="W36" s="381">
        <f t="shared" si="14"/>
        <v>0</v>
      </c>
      <c r="X36" s="382">
        <f t="shared" si="10"/>
        <v>600</v>
      </c>
      <c r="Y36" s="384">
        <f t="shared" ref="Y36:Z67" si="15">+G36+P36</f>
        <v>-236</v>
      </c>
      <c r="Z36" s="381">
        <f t="shared" si="15"/>
        <v>99</v>
      </c>
      <c r="AA36" s="383">
        <f t="shared" si="11"/>
        <v>-137</v>
      </c>
      <c r="AB36" s="380">
        <f t="shared" si="12"/>
        <v>364</v>
      </c>
      <c r="AC36" s="381">
        <f t="shared" si="12"/>
        <v>99</v>
      </c>
      <c r="AD36" s="382">
        <f t="shared" si="13"/>
        <v>463</v>
      </c>
      <c r="AE36" s="384">
        <v>364</v>
      </c>
      <c r="AF36" s="381">
        <v>99</v>
      </c>
      <c r="AG36" s="382">
        <v>463</v>
      </c>
    </row>
    <row r="37" spans="1:33" ht="20.25" hidden="1" customHeight="1" x14ac:dyDescent="0.2">
      <c r="A37" s="284"/>
      <c r="B37" s="205"/>
      <c r="C37" s="285"/>
      <c r="D37" s="385"/>
      <c r="E37" s="386"/>
      <c r="F37" s="382">
        <f t="shared" si="2"/>
        <v>0</v>
      </c>
      <c r="G37" s="385">
        <f t="shared" si="3"/>
        <v>0</v>
      </c>
      <c r="H37" s="386">
        <f t="shared" si="3"/>
        <v>0</v>
      </c>
      <c r="I37" s="383">
        <f t="shared" si="6"/>
        <v>0</v>
      </c>
      <c r="J37" s="385"/>
      <c r="K37" s="386"/>
      <c r="L37" s="382">
        <f t="shared" si="4"/>
        <v>0</v>
      </c>
      <c r="M37" s="380"/>
      <c r="N37" s="381"/>
      <c r="O37" s="382">
        <f t="shared" si="7"/>
        <v>0</v>
      </c>
      <c r="P37" s="387">
        <f t="shared" si="5"/>
        <v>0</v>
      </c>
      <c r="Q37" s="386">
        <f t="shared" si="5"/>
        <v>0</v>
      </c>
      <c r="R37" s="383">
        <f t="shared" si="8"/>
        <v>0</v>
      </c>
      <c r="S37" s="380"/>
      <c r="T37" s="381"/>
      <c r="U37" s="382">
        <f t="shared" si="9"/>
        <v>0</v>
      </c>
      <c r="V37" s="380">
        <f t="shared" si="14"/>
        <v>0</v>
      </c>
      <c r="W37" s="381">
        <f t="shared" si="14"/>
        <v>0</v>
      </c>
      <c r="X37" s="382">
        <f t="shared" si="10"/>
        <v>0</v>
      </c>
      <c r="Y37" s="384">
        <f t="shared" si="15"/>
        <v>0</v>
      </c>
      <c r="Z37" s="381">
        <f t="shared" si="15"/>
        <v>0</v>
      </c>
      <c r="AA37" s="383">
        <f t="shared" si="11"/>
        <v>0</v>
      </c>
      <c r="AB37" s="380">
        <f t="shared" si="12"/>
        <v>0</v>
      </c>
      <c r="AC37" s="381">
        <f t="shared" si="12"/>
        <v>0</v>
      </c>
      <c r="AD37" s="382">
        <f t="shared" si="13"/>
        <v>0</v>
      </c>
      <c r="AE37" s="384">
        <v>0</v>
      </c>
      <c r="AF37" s="381">
        <v>0</v>
      </c>
      <c r="AG37" s="382">
        <v>0</v>
      </c>
    </row>
    <row r="38" spans="1:33" ht="20.25" hidden="1" customHeight="1" x14ac:dyDescent="0.2">
      <c r="A38" s="286"/>
      <c r="B38" s="215"/>
      <c r="C38" s="285"/>
      <c r="D38" s="385"/>
      <c r="E38" s="386"/>
      <c r="F38" s="382">
        <f t="shared" si="2"/>
        <v>0</v>
      </c>
      <c r="G38" s="385">
        <f t="shared" si="3"/>
        <v>0</v>
      </c>
      <c r="H38" s="386">
        <f t="shared" si="3"/>
        <v>0</v>
      </c>
      <c r="I38" s="383">
        <f t="shared" si="6"/>
        <v>0</v>
      </c>
      <c r="J38" s="385"/>
      <c r="K38" s="386"/>
      <c r="L38" s="382">
        <f t="shared" si="4"/>
        <v>0</v>
      </c>
      <c r="M38" s="380"/>
      <c r="N38" s="381"/>
      <c r="O38" s="382">
        <f t="shared" si="7"/>
        <v>0</v>
      </c>
      <c r="P38" s="387">
        <f t="shared" si="5"/>
        <v>0</v>
      </c>
      <c r="Q38" s="386">
        <f t="shared" si="5"/>
        <v>0</v>
      </c>
      <c r="R38" s="383">
        <f t="shared" si="8"/>
        <v>0</v>
      </c>
      <c r="S38" s="380"/>
      <c r="T38" s="381"/>
      <c r="U38" s="382">
        <f t="shared" si="9"/>
        <v>0</v>
      </c>
      <c r="V38" s="380">
        <f t="shared" si="14"/>
        <v>0</v>
      </c>
      <c r="W38" s="381">
        <f t="shared" si="14"/>
        <v>0</v>
      </c>
      <c r="X38" s="382">
        <f t="shared" si="10"/>
        <v>0</v>
      </c>
      <c r="Y38" s="384">
        <f t="shared" si="15"/>
        <v>0</v>
      </c>
      <c r="Z38" s="381">
        <f t="shared" si="15"/>
        <v>0</v>
      </c>
      <c r="AA38" s="383">
        <f t="shared" si="11"/>
        <v>0</v>
      </c>
      <c r="AB38" s="380">
        <f t="shared" si="12"/>
        <v>0</v>
      </c>
      <c r="AC38" s="381">
        <f t="shared" si="12"/>
        <v>0</v>
      </c>
      <c r="AD38" s="382">
        <f t="shared" si="13"/>
        <v>0</v>
      </c>
      <c r="AE38" s="384">
        <v>0</v>
      </c>
      <c r="AF38" s="381">
        <v>0</v>
      </c>
      <c r="AG38" s="382">
        <v>0</v>
      </c>
    </row>
    <row r="39" spans="1:33" ht="20.25" hidden="1" customHeight="1" x14ac:dyDescent="0.2">
      <c r="A39" s="286"/>
      <c r="B39" s="215"/>
      <c r="C39" s="285"/>
      <c r="D39" s="385"/>
      <c r="E39" s="386"/>
      <c r="F39" s="382">
        <f t="shared" si="2"/>
        <v>0</v>
      </c>
      <c r="G39" s="385">
        <f t="shared" si="3"/>
        <v>0</v>
      </c>
      <c r="H39" s="386">
        <f t="shared" si="3"/>
        <v>0</v>
      </c>
      <c r="I39" s="383">
        <f t="shared" si="6"/>
        <v>0</v>
      </c>
      <c r="J39" s="385"/>
      <c r="K39" s="386"/>
      <c r="L39" s="382">
        <f t="shared" si="4"/>
        <v>0</v>
      </c>
      <c r="M39" s="380"/>
      <c r="N39" s="381"/>
      <c r="O39" s="382">
        <f t="shared" si="7"/>
        <v>0</v>
      </c>
      <c r="P39" s="387">
        <f t="shared" si="5"/>
        <v>0</v>
      </c>
      <c r="Q39" s="386">
        <f t="shared" si="5"/>
        <v>0</v>
      </c>
      <c r="R39" s="383">
        <f t="shared" si="8"/>
        <v>0</v>
      </c>
      <c r="S39" s="380"/>
      <c r="T39" s="381"/>
      <c r="U39" s="382">
        <f t="shared" si="9"/>
        <v>0</v>
      </c>
      <c r="V39" s="380">
        <f t="shared" si="14"/>
        <v>0</v>
      </c>
      <c r="W39" s="381">
        <f t="shared" si="14"/>
        <v>0</v>
      </c>
      <c r="X39" s="382">
        <f t="shared" si="10"/>
        <v>0</v>
      </c>
      <c r="Y39" s="384">
        <f t="shared" si="15"/>
        <v>0</v>
      </c>
      <c r="Z39" s="381">
        <f t="shared" si="15"/>
        <v>0</v>
      </c>
      <c r="AA39" s="383">
        <f t="shared" si="11"/>
        <v>0</v>
      </c>
      <c r="AB39" s="380">
        <f t="shared" si="12"/>
        <v>0</v>
      </c>
      <c r="AC39" s="381">
        <f t="shared" si="12"/>
        <v>0</v>
      </c>
      <c r="AD39" s="382">
        <f t="shared" si="13"/>
        <v>0</v>
      </c>
      <c r="AE39" s="384">
        <v>0</v>
      </c>
      <c r="AF39" s="381">
        <v>0</v>
      </c>
      <c r="AG39" s="382">
        <v>0</v>
      </c>
    </row>
    <row r="40" spans="1:33" ht="20.25" hidden="1" customHeight="1" x14ac:dyDescent="0.2">
      <c r="A40" s="286"/>
      <c r="B40" s="215"/>
      <c r="C40" s="285"/>
      <c r="D40" s="385"/>
      <c r="E40" s="386"/>
      <c r="F40" s="382">
        <f t="shared" si="2"/>
        <v>0</v>
      </c>
      <c r="G40" s="385">
        <f t="shared" si="3"/>
        <v>0</v>
      </c>
      <c r="H40" s="386">
        <f t="shared" si="3"/>
        <v>0</v>
      </c>
      <c r="I40" s="383">
        <f t="shared" si="6"/>
        <v>0</v>
      </c>
      <c r="J40" s="385"/>
      <c r="K40" s="386"/>
      <c r="L40" s="382">
        <f t="shared" si="4"/>
        <v>0</v>
      </c>
      <c r="M40" s="380"/>
      <c r="N40" s="381"/>
      <c r="O40" s="382">
        <f t="shared" si="7"/>
        <v>0</v>
      </c>
      <c r="P40" s="387">
        <f t="shared" si="5"/>
        <v>0</v>
      </c>
      <c r="Q40" s="386">
        <f t="shared" si="5"/>
        <v>0</v>
      </c>
      <c r="R40" s="383">
        <f t="shared" si="8"/>
        <v>0</v>
      </c>
      <c r="S40" s="380"/>
      <c r="T40" s="381"/>
      <c r="U40" s="382">
        <f t="shared" si="9"/>
        <v>0</v>
      </c>
      <c r="V40" s="380">
        <f t="shared" si="14"/>
        <v>0</v>
      </c>
      <c r="W40" s="381">
        <f t="shared" si="14"/>
        <v>0</v>
      </c>
      <c r="X40" s="382">
        <f t="shared" si="10"/>
        <v>0</v>
      </c>
      <c r="Y40" s="384">
        <f t="shared" si="15"/>
        <v>0</v>
      </c>
      <c r="Z40" s="381">
        <f t="shared" si="15"/>
        <v>0</v>
      </c>
      <c r="AA40" s="383">
        <f t="shared" si="11"/>
        <v>0</v>
      </c>
      <c r="AB40" s="380">
        <f t="shared" si="12"/>
        <v>0</v>
      </c>
      <c r="AC40" s="381">
        <f t="shared" si="12"/>
        <v>0</v>
      </c>
      <c r="AD40" s="382">
        <f t="shared" si="13"/>
        <v>0</v>
      </c>
      <c r="AE40" s="384">
        <v>0</v>
      </c>
      <c r="AF40" s="381">
        <v>0</v>
      </c>
      <c r="AG40" s="382">
        <v>0</v>
      </c>
    </row>
    <row r="41" spans="1:33" ht="20.25" hidden="1" customHeight="1" x14ac:dyDescent="0.2">
      <c r="A41" s="286"/>
      <c r="B41" s="215"/>
      <c r="C41" s="285"/>
      <c r="D41" s="385"/>
      <c r="E41" s="386"/>
      <c r="F41" s="382">
        <f t="shared" si="2"/>
        <v>0</v>
      </c>
      <c r="G41" s="385">
        <f t="shared" si="3"/>
        <v>0</v>
      </c>
      <c r="H41" s="386">
        <f t="shared" si="3"/>
        <v>0</v>
      </c>
      <c r="I41" s="383">
        <f t="shared" si="6"/>
        <v>0</v>
      </c>
      <c r="J41" s="385"/>
      <c r="K41" s="386"/>
      <c r="L41" s="382">
        <f t="shared" si="4"/>
        <v>0</v>
      </c>
      <c r="M41" s="380"/>
      <c r="N41" s="381"/>
      <c r="O41" s="382">
        <f t="shared" si="7"/>
        <v>0</v>
      </c>
      <c r="P41" s="387">
        <f t="shared" si="5"/>
        <v>0</v>
      </c>
      <c r="Q41" s="386">
        <f t="shared" si="5"/>
        <v>0</v>
      </c>
      <c r="R41" s="383">
        <f t="shared" si="8"/>
        <v>0</v>
      </c>
      <c r="S41" s="380"/>
      <c r="T41" s="381"/>
      <c r="U41" s="382">
        <f t="shared" si="9"/>
        <v>0</v>
      </c>
      <c r="V41" s="380">
        <f t="shared" si="14"/>
        <v>0</v>
      </c>
      <c r="W41" s="381">
        <f t="shared" si="14"/>
        <v>0</v>
      </c>
      <c r="X41" s="382">
        <f t="shared" si="10"/>
        <v>0</v>
      </c>
      <c r="Y41" s="384">
        <f t="shared" si="15"/>
        <v>0</v>
      </c>
      <c r="Z41" s="381">
        <f t="shared" si="15"/>
        <v>0</v>
      </c>
      <c r="AA41" s="383">
        <f t="shared" si="11"/>
        <v>0</v>
      </c>
      <c r="AB41" s="380">
        <f t="shared" si="12"/>
        <v>0</v>
      </c>
      <c r="AC41" s="381">
        <f t="shared" si="12"/>
        <v>0</v>
      </c>
      <c r="AD41" s="382">
        <f t="shared" si="13"/>
        <v>0</v>
      </c>
      <c r="AE41" s="384">
        <v>0</v>
      </c>
      <c r="AF41" s="381">
        <v>0</v>
      </c>
      <c r="AG41" s="382">
        <v>0</v>
      </c>
    </row>
    <row r="42" spans="1:33" ht="20.25" hidden="1" customHeight="1" x14ac:dyDescent="0.2">
      <c r="A42" s="286"/>
      <c r="B42" s="215"/>
      <c r="C42" s="285"/>
      <c r="D42" s="385"/>
      <c r="E42" s="386"/>
      <c r="F42" s="382">
        <f t="shared" si="2"/>
        <v>0</v>
      </c>
      <c r="G42" s="385">
        <f t="shared" si="3"/>
        <v>0</v>
      </c>
      <c r="H42" s="386">
        <f t="shared" si="3"/>
        <v>0</v>
      </c>
      <c r="I42" s="383">
        <f t="shared" si="6"/>
        <v>0</v>
      </c>
      <c r="J42" s="385"/>
      <c r="K42" s="386"/>
      <c r="L42" s="382">
        <f t="shared" si="4"/>
        <v>0</v>
      </c>
      <c r="M42" s="380"/>
      <c r="N42" s="381"/>
      <c r="O42" s="382">
        <f t="shared" si="7"/>
        <v>0</v>
      </c>
      <c r="P42" s="387">
        <f t="shared" si="5"/>
        <v>0</v>
      </c>
      <c r="Q42" s="386">
        <f t="shared" si="5"/>
        <v>0</v>
      </c>
      <c r="R42" s="383">
        <f t="shared" si="8"/>
        <v>0</v>
      </c>
      <c r="S42" s="380"/>
      <c r="T42" s="381"/>
      <c r="U42" s="382">
        <f t="shared" si="9"/>
        <v>0</v>
      </c>
      <c r="V42" s="380">
        <f t="shared" si="14"/>
        <v>0</v>
      </c>
      <c r="W42" s="381">
        <f t="shared" si="14"/>
        <v>0</v>
      </c>
      <c r="X42" s="382">
        <f t="shared" si="10"/>
        <v>0</v>
      </c>
      <c r="Y42" s="384">
        <f t="shared" si="15"/>
        <v>0</v>
      </c>
      <c r="Z42" s="381">
        <f t="shared" si="15"/>
        <v>0</v>
      </c>
      <c r="AA42" s="383">
        <f t="shared" si="11"/>
        <v>0</v>
      </c>
      <c r="AB42" s="380">
        <f t="shared" si="12"/>
        <v>0</v>
      </c>
      <c r="AC42" s="381">
        <f t="shared" si="12"/>
        <v>0</v>
      </c>
      <c r="AD42" s="382">
        <f t="shared" si="13"/>
        <v>0</v>
      </c>
      <c r="AE42" s="384">
        <v>0</v>
      </c>
      <c r="AF42" s="381">
        <v>0</v>
      </c>
      <c r="AG42" s="382">
        <v>0</v>
      </c>
    </row>
    <row r="43" spans="1:33" ht="20.25" hidden="1" customHeight="1" x14ac:dyDescent="0.2">
      <c r="A43" s="286"/>
      <c r="B43" s="215"/>
      <c r="C43" s="285"/>
      <c r="D43" s="385"/>
      <c r="E43" s="386"/>
      <c r="F43" s="382">
        <f t="shared" si="2"/>
        <v>0</v>
      </c>
      <c r="G43" s="385">
        <f t="shared" si="3"/>
        <v>0</v>
      </c>
      <c r="H43" s="386">
        <f t="shared" si="3"/>
        <v>0</v>
      </c>
      <c r="I43" s="383">
        <f t="shared" si="6"/>
        <v>0</v>
      </c>
      <c r="J43" s="385"/>
      <c r="K43" s="386"/>
      <c r="L43" s="382">
        <f t="shared" si="4"/>
        <v>0</v>
      </c>
      <c r="M43" s="380"/>
      <c r="N43" s="381"/>
      <c r="O43" s="382">
        <f t="shared" si="7"/>
        <v>0</v>
      </c>
      <c r="P43" s="387">
        <f t="shared" si="5"/>
        <v>0</v>
      </c>
      <c r="Q43" s="386">
        <f t="shared" si="5"/>
        <v>0</v>
      </c>
      <c r="R43" s="383">
        <f t="shared" si="8"/>
        <v>0</v>
      </c>
      <c r="S43" s="380"/>
      <c r="T43" s="381"/>
      <c r="U43" s="382">
        <f t="shared" si="9"/>
        <v>0</v>
      </c>
      <c r="V43" s="380">
        <f t="shared" si="14"/>
        <v>0</v>
      </c>
      <c r="W43" s="381">
        <f t="shared" si="14"/>
        <v>0</v>
      </c>
      <c r="X43" s="382">
        <f t="shared" si="10"/>
        <v>0</v>
      </c>
      <c r="Y43" s="384">
        <f t="shared" si="15"/>
        <v>0</v>
      </c>
      <c r="Z43" s="381">
        <f t="shared" si="15"/>
        <v>0</v>
      </c>
      <c r="AA43" s="383">
        <f t="shared" si="11"/>
        <v>0</v>
      </c>
      <c r="AB43" s="380">
        <f t="shared" si="12"/>
        <v>0</v>
      </c>
      <c r="AC43" s="381">
        <f t="shared" si="12"/>
        <v>0</v>
      </c>
      <c r="AD43" s="382">
        <f t="shared" si="13"/>
        <v>0</v>
      </c>
      <c r="AE43" s="384">
        <v>0</v>
      </c>
      <c r="AF43" s="381">
        <v>0</v>
      </c>
      <c r="AG43" s="382">
        <v>0</v>
      </c>
    </row>
    <row r="44" spans="1:33" ht="20.25" hidden="1" customHeight="1" x14ac:dyDescent="0.2">
      <c r="A44" s="286"/>
      <c r="B44" s="215"/>
      <c r="C44" s="285"/>
      <c r="D44" s="385"/>
      <c r="E44" s="386"/>
      <c r="F44" s="382">
        <f t="shared" si="2"/>
        <v>0</v>
      </c>
      <c r="G44" s="385">
        <f t="shared" si="3"/>
        <v>0</v>
      </c>
      <c r="H44" s="386">
        <f t="shared" si="3"/>
        <v>0</v>
      </c>
      <c r="I44" s="383">
        <f t="shared" si="6"/>
        <v>0</v>
      </c>
      <c r="J44" s="385"/>
      <c r="K44" s="386"/>
      <c r="L44" s="382">
        <f t="shared" si="4"/>
        <v>0</v>
      </c>
      <c r="M44" s="380"/>
      <c r="N44" s="381"/>
      <c r="O44" s="382">
        <f t="shared" si="7"/>
        <v>0</v>
      </c>
      <c r="P44" s="387">
        <f t="shared" si="5"/>
        <v>0</v>
      </c>
      <c r="Q44" s="386">
        <f t="shared" si="5"/>
        <v>0</v>
      </c>
      <c r="R44" s="383">
        <f t="shared" si="8"/>
        <v>0</v>
      </c>
      <c r="S44" s="380"/>
      <c r="T44" s="381"/>
      <c r="U44" s="382">
        <f t="shared" si="9"/>
        <v>0</v>
      </c>
      <c r="V44" s="380">
        <f t="shared" si="14"/>
        <v>0</v>
      </c>
      <c r="W44" s="381">
        <f t="shared" si="14"/>
        <v>0</v>
      </c>
      <c r="X44" s="382">
        <f t="shared" si="10"/>
        <v>0</v>
      </c>
      <c r="Y44" s="384">
        <f t="shared" si="15"/>
        <v>0</v>
      </c>
      <c r="Z44" s="381">
        <f t="shared" si="15"/>
        <v>0</v>
      </c>
      <c r="AA44" s="383">
        <f t="shared" si="11"/>
        <v>0</v>
      </c>
      <c r="AB44" s="380">
        <f t="shared" si="12"/>
        <v>0</v>
      </c>
      <c r="AC44" s="381">
        <f t="shared" si="12"/>
        <v>0</v>
      </c>
      <c r="AD44" s="382">
        <f t="shared" si="13"/>
        <v>0</v>
      </c>
      <c r="AE44" s="384">
        <v>0</v>
      </c>
      <c r="AF44" s="381">
        <v>0</v>
      </c>
      <c r="AG44" s="382">
        <v>0</v>
      </c>
    </row>
    <row r="45" spans="1:33" ht="20.25" hidden="1" customHeight="1" x14ac:dyDescent="0.2">
      <c r="A45" s="286"/>
      <c r="B45" s="215"/>
      <c r="C45" s="285"/>
      <c r="D45" s="385"/>
      <c r="E45" s="386"/>
      <c r="F45" s="382">
        <f t="shared" si="2"/>
        <v>0</v>
      </c>
      <c r="G45" s="385">
        <f t="shared" si="3"/>
        <v>0</v>
      </c>
      <c r="H45" s="386">
        <f t="shared" si="3"/>
        <v>0</v>
      </c>
      <c r="I45" s="383">
        <f t="shared" si="6"/>
        <v>0</v>
      </c>
      <c r="J45" s="385"/>
      <c r="K45" s="386"/>
      <c r="L45" s="382">
        <f t="shared" si="4"/>
        <v>0</v>
      </c>
      <c r="M45" s="380"/>
      <c r="N45" s="381"/>
      <c r="O45" s="382">
        <f t="shared" si="7"/>
        <v>0</v>
      </c>
      <c r="P45" s="387">
        <f t="shared" si="5"/>
        <v>0</v>
      </c>
      <c r="Q45" s="386">
        <f t="shared" si="5"/>
        <v>0</v>
      </c>
      <c r="R45" s="383">
        <f t="shared" si="8"/>
        <v>0</v>
      </c>
      <c r="S45" s="380"/>
      <c r="T45" s="381"/>
      <c r="U45" s="382">
        <f t="shared" si="9"/>
        <v>0</v>
      </c>
      <c r="V45" s="380">
        <f t="shared" si="14"/>
        <v>0</v>
      </c>
      <c r="W45" s="381">
        <f t="shared" si="14"/>
        <v>0</v>
      </c>
      <c r="X45" s="382">
        <f t="shared" si="10"/>
        <v>0</v>
      </c>
      <c r="Y45" s="384">
        <f t="shared" si="15"/>
        <v>0</v>
      </c>
      <c r="Z45" s="381">
        <f t="shared" si="15"/>
        <v>0</v>
      </c>
      <c r="AA45" s="383">
        <f t="shared" si="11"/>
        <v>0</v>
      </c>
      <c r="AB45" s="380">
        <f t="shared" si="12"/>
        <v>0</v>
      </c>
      <c r="AC45" s="381">
        <f t="shared" si="12"/>
        <v>0</v>
      </c>
      <c r="AD45" s="382">
        <f t="shared" si="13"/>
        <v>0</v>
      </c>
      <c r="AE45" s="384">
        <v>0</v>
      </c>
      <c r="AF45" s="381">
        <v>0</v>
      </c>
      <c r="AG45" s="382">
        <v>0</v>
      </c>
    </row>
    <row r="46" spans="1:33" ht="20.25" hidden="1" customHeight="1" x14ac:dyDescent="0.2">
      <c r="A46" s="284"/>
      <c r="B46" s="287"/>
      <c r="C46" s="285"/>
      <c r="D46" s="385"/>
      <c r="E46" s="386"/>
      <c r="F46" s="382">
        <f t="shared" si="2"/>
        <v>0</v>
      </c>
      <c r="G46" s="385">
        <f t="shared" si="3"/>
        <v>0</v>
      </c>
      <c r="H46" s="386">
        <f t="shared" si="3"/>
        <v>0</v>
      </c>
      <c r="I46" s="383">
        <f t="shared" si="6"/>
        <v>0</v>
      </c>
      <c r="J46" s="385"/>
      <c r="K46" s="386"/>
      <c r="L46" s="382">
        <f t="shared" si="4"/>
        <v>0</v>
      </c>
      <c r="M46" s="380"/>
      <c r="N46" s="381"/>
      <c r="O46" s="382">
        <f t="shared" si="7"/>
        <v>0</v>
      </c>
      <c r="P46" s="387">
        <f t="shared" si="5"/>
        <v>0</v>
      </c>
      <c r="Q46" s="386">
        <f t="shared" si="5"/>
        <v>0</v>
      </c>
      <c r="R46" s="383">
        <f t="shared" si="8"/>
        <v>0</v>
      </c>
      <c r="S46" s="380"/>
      <c r="T46" s="381"/>
      <c r="U46" s="382">
        <f t="shared" si="9"/>
        <v>0</v>
      </c>
      <c r="V46" s="380">
        <f t="shared" si="14"/>
        <v>0</v>
      </c>
      <c r="W46" s="381">
        <f t="shared" si="14"/>
        <v>0</v>
      </c>
      <c r="X46" s="382">
        <f t="shared" si="10"/>
        <v>0</v>
      </c>
      <c r="Y46" s="384">
        <f t="shared" si="15"/>
        <v>0</v>
      </c>
      <c r="Z46" s="381">
        <f t="shared" si="15"/>
        <v>0</v>
      </c>
      <c r="AA46" s="383">
        <f t="shared" si="11"/>
        <v>0</v>
      </c>
      <c r="AB46" s="380">
        <f t="shared" si="12"/>
        <v>0</v>
      </c>
      <c r="AC46" s="381">
        <f t="shared" si="12"/>
        <v>0</v>
      </c>
      <c r="AD46" s="382">
        <f t="shared" si="13"/>
        <v>0</v>
      </c>
      <c r="AE46" s="384">
        <v>0</v>
      </c>
      <c r="AF46" s="381">
        <v>0</v>
      </c>
      <c r="AG46" s="382">
        <v>0</v>
      </c>
    </row>
    <row r="47" spans="1:33" ht="20.25" customHeight="1" x14ac:dyDescent="0.2">
      <c r="A47" s="204"/>
      <c r="B47" s="205" t="s">
        <v>396</v>
      </c>
      <c r="C47" s="283" t="s">
        <v>1769</v>
      </c>
      <c r="D47" s="380">
        <v>395</v>
      </c>
      <c r="E47" s="381"/>
      <c r="F47" s="382">
        <f t="shared" si="2"/>
        <v>395</v>
      </c>
      <c r="G47" s="380">
        <f t="shared" si="3"/>
        <v>-395</v>
      </c>
      <c r="H47" s="381">
        <f t="shared" si="3"/>
        <v>0</v>
      </c>
      <c r="I47" s="383">
        <f t="shared" si="6"/>
        <v>-395</v>
      </c>
      <c r="J47" s="380"/>
      <c r="K47" s="381"/>
      <c r="L47" s="382">
        <f t="shared" si="4"/>
        <v>0</v>
      </c>
      <c r="M47" s="380">
        <v>505</v>
      </c>
      <c r="N47" s="381"/>
      <c r="O47" s="382">
        <f t="shared" si="7"/>
        <v>505</v>
      </c>
      <c r="P47" s="384">
        <f t="shared" si="5"/>
        <v>-505</v>
      </c>
      <c r="Q47" s="381">
        <f t="shared" si="5"/>
        <v>0</v>
      </c>
      <c r="R47" s="383">
        <f t="shared" si="8"/>
        <v>-505</v>
      </c>
      <c r="S47" s="380"/>
      <c r="T47" s="381"/>
      <c r="U47" s="382">
        <f t="shared" si="9"/>
        <v>0</v>
      </c>
      <c r="V47" s="380">
        <f t="shared" si="14"/>
        <v>900</v>
      </c>
      <c r="W47" s="381">
        <f t="shared" si="14"/>
        <v>0</v>
      </c>
      <c r="X47" s="382">
        <f t="shared" si="10"/>
        <v>900</v>
      </c>
      <c r="Y47" s="384">
        <f t="shared" si="15"/>
        <v>-900</v>
      </c>
      <c r="Z47" s="381">
        <f t="shared" si="15"/>
        <v>0</v>
      </c>
      <c r="AA47" s="383">
        <f t="shared" si="11"/>
        <v>-900</v>
      </c>
      <c r="AB47" s="380">
        <f t="shared" si="12"/>
        <v>0</v>
      </c>
      <c r="AC47" s="381">
        <f t="shared" si="12"/>
        <v>0</v>
      </c>
      <c r="AD47" s="382">
        <f t="shared" si="13"/>
        <v>0</v>
      </c>
      <c r="AE47" s="384">
        <v>0</v>
      </c>
      <c r="AF47" s="381">
        <v>0</v>
      </c>
      <c r="AG47" s="382">
        <v>0</v>
      </c>
    </row>
    <row r="48" spans="1:33" ht="20.25" customHeight="1" x14ac:dyDescent="0.2">
      <c r="A48" s="204" t="s">
        <v>1707</v>
      </c>
      <c r="B48" s="205" t="s">
        <v>1737</v>
      </c>
      <c r="C48" s="283" t="s">
        <v>1769</v>
      </c>
      <c r="D48" s="380"/>
      <c r="E48" s="381"/>
      <c r="F48" s="382">
        <f t="shared" si="2"/>
        <v>0</v>
      </c>
      <c r="G48" s="380">
        <f t="shared" si="3"/>
        <v>1861</v>
      </c>
      <c r="H48" s="381">
        <f t="shared" si="3"/>
        <v>289</v>
      </c>
      <c r="I48" s="383">
        <f t="shared" si="6"/>
        <v>2150</v>
      </c>
      <c r="J48" s="380">
        <v>1861</v>
      </c>
      <c r="K48" s="381">
        <v>289</v>
      </c>
      <c r="L48" s="382">
        <f t="shared" si="4"/>
        <v>2150</v>
      </c>
      <c r="M48" s="380"/>
      <c r="N48" s="381"/>
      <c r="O48" s="382">
        <f t="shared" si="7"/>
        <v>0</v>
      </c>
      <c r="P48" s="384">
        <f t="shared" si="5"/>
        <v>0</v>
      </c>
      <c r="Q48" s="381">
        <f t="shared" si="5"/>
        <v>0</v>
      </c>
      <c r="R48" s="383">
        <f t="shared" si="8"/>
        <v>0</v>
      </c>
      <c r="S48" s="380"/>
      <c r="T48" s="381"/>
      <c r="U48" s="382">
        <f t="shared" si="9"/>
        <v>0</v>
      </c>
      <c r="V48" s="380">
        <f t="shared" si="14"/>
        <v>0</v>
      </c>
      <c r="W48" s="381">
        <f t="shared" si="14"/>
        <v>0</v>
      </c>
      <c r="X48" s="382">
        <f t="shared" si="10"/>
        <v>0</v>
      </c>
      <c r="Y48" s="384">
        <f t="shared" si="15"/>
        <v>1861</v>
      </c>
      <c r="Z48" s="381">
        <f t="shared" si="15"/>
        <v>289</v>
      </c>
      <c r="AA48" s="383">
        <f t="shared" si="11"/>
        <v>2150</v>
      </c>
      <c r="AB48" s="380">
        <f t="shared" si="12"/>
        <v>1861</v>
      </c>
      <c r="AC48" s="381">
        <f t="shared" si="12"/>
        <v>289</v>
      </c>
      <c r="AD48" s="382">
        <f t="shared" si="13"/>
        <v>2150</v>
      </c>
      <c r="AE48" s="384">
        <v>1861</v>
      </c>
      <c r="AF48" s="381">
        <v>289</v>
      </c>
      <c r="AG48" s="382">
        <v>2150</v>
      </c>
    </row>
    <row r="49" spans="1:33" ht="20.25" customHeight="1" x14ac:dyDescent="0.2">
      <c r="A49" s="204" t="s">
        <v>1758</v>
      </c>
      <c r="B49" s="205" t="s">
        <v>1770</v>
      </c>
      <c r="C49" s="283" t="s">
        <v>1769</v>
      </c>
      <c r="D49" s="380"/>
      <c r="E49" s="381"/>
      <c r="F49" s="382">
        <f t="shared" si="2"/>
        <v>0</v>
      </c>
      <c r="G49" s="380">
        <f t="shared" si="3"/>
        <v>0</v>
      </c>
      <c r="H49" s="381">
        <f t="shared" si="3"/>
        <v>0</v>
      </c>
      <c r="I49" s="383">
        <f t="shared" si="6"/>
        <v>0</v>
      </c>
      <c r="J49" s="380">
        <v>0</v>
      </c>
      <c r="K49" s="381">
        <v>0</v>
      </c>
      <c r="L49" s="382">
        <f t="shared" si="4"/>
        <v>0</v>
      </c>
      <c r="M49" s="380"/>
      <c r="N49" s="381"/>
      <c r="O49" s="382">
        <f t="shared" si="7"/>
        <v>0</v>
      </c>
      <c r="P49" s="384">
        <f t="shared" si="5"/>
        <v>432</v>
      </c>
      <c r="Q49" s="381">
        <f t="shared" si="5"/>
        <v>116</v>
      </c>
      <c r="R49" s="383">
        <f t="shared" si="8"/>
        <v>548</v>
      </c>
      <c r="S49" s="380">
        <v>432</v>
      </c>
      <c r="T49" s="381">
        <v>116</v>
      </c>
      <c r="U49" s="382">
        <f t="shared" si="9"/>
        <v>548</v>
      </c>
      <c r="V49" s="380">
        <f t="shared" si="14"/>
        <v>0</v>
      </c>
      <c r="W49" s="381">
        <f t="shared" si="14"/>
        <v>0</v>
      </c>
      <c r="X49" s="382">
        <f t="shared" si="10"/>
        <v>0</v>
      </c>
      <c r="Y49" s="384">
        <f t="shared" si="15"/>
        <v>432</v>
      </c>
      <c r="Z49" s="381">
        <f t="shared" si="15"/>
        <v>116</v>
      </c>
      <c r="AA49" s="383">
        <f t="shared" si="11"/>
        <v>548</v>
      </c>
      <c r="AB49" s="380">
        <f t="shared" si="12"/>
        <v>432</v>
      </c>
      <c r="AC49" s="381">
        <f t="shared" si="12"/>
        <v>116</v>
      </c>
      <c r="AD49" s="382">
        <f t="shared" si="13"/>
        <v>548</v>
      </c>
      <c r="AE49" s="384">
        <v>432</v>
      </c>
      <c r="AF49" s="381">
        <v>116</v>
      </c>
      <c r="AG49" s="382">
        <v>548</v>
      </c>
    </row>
    <row r="50" spans="1:33" ht="25.5" customHeight="1" x14ac:dyDescent="0.2">
      <c r="A50" s="204" t="s">
        <v>1703</v>
      </c>
      <c r="B50" s="205" t="s">
        <v>1741</v>
      </c>
      <c r="C50" s="283" t="s">
        <v>1769</v>
      </c>
      <c r="D50" s="380"/>
      <c r="E50" s="381"/>
      <c r="F50" s="382">
        <f t="shared" si="2"/>
        <v>0</v>
      </c>
      <c r="G50" s="380">
        <f t="shared" si="3"/>
        <v>3183</v>
      </c>
      <c r="H50" s="381">
        <f t="shared" si="3"/>
        <v>837</v>
      </c>
      <c r="I50" s="383">
        <f t="shared" si="6"/>
        <v>4020</v>
      </c>
      <c r="J50" s="380">
        <v>3183</v>
      </c>
      <c r="K50" s="381">
        <v>837</v>
      </c>
      <c r="L50" s="382">
        <f t="shared" si="4"/>
        <v>4020</v>
      </c>
      <c r="M50" s="380"/>
      <c r="N50" s="381"/>
      <c r="O50" s="382">
        <f t="shared" si="7"/>
        <v>0</v>
      </c>
      <c r="P50" s="384">
        <f t="shared" si="5"/>
        <v>0</v>
      </c>
      <c r="Q50" s="381">
        <f t="shared" si="5"/>
        <v>0</v>
      </c>
      <c r="R50" s="383">
        <f t="shared" si="8"/>
        <v>0</v>
      </c>
      <c r="S50" s="380"/>
      <c r="T50" s="381"/>
      <c r="U50" s="382">
        <f t="shared" si="9"/>
        <v>0</v>
      </c>
      <c r="V50" s="380">
        <f t="shared" si="14"/>
        <v>0</v>
      </c>
      <c r="W50" s="381">
        <f t="shared" si="14"/>
        <v>0</v>
      </c>
      <c r="X50" s="382">
        <f t="shared" si="10"/>
        <v>0</v>
      </c>
      <c r="Y50" s="384">
        <f t="shared" si="15"/>
        <v>3183</v>
      </c>
      <c r="Z50" s="381">
        <f t="shared" si="15"/>
        <v>837</v>
      </c>
      <c r="AA50" s="383">
        <f t="shared" si="11"/>
        <v>4020</v>
      </c>
      <c r="AB50" s="380">
        <f t="shared" si="12"/>
        <v>3183</v>
      </c>
      <c r="AC50" s="381">
        <f t="shared" si="12"/>
        <v>837</v>
      </c>
      <c r="AD50" s="382">
        <f t="shared" si="13"/>
        <v>4020</v>
      </c>
      <c r="AE50" s="384">
        <v>3183</v>
      </c>
      <c r="AF50" s="381">
        <v>837</v>
      </c>
      <c r="AG50" s="382">
        <v>4020</v>
      </c>
    </row>
    <row r="51" spans="1:33" ht="31.5" customHeight="1" x14ac:dyDescent="0.2">
      <c r="A51" s="204" t="s">
        <v>1742</v>
      </c>
      <c r="B51" s="205" t="s">
        <v>1743</v>
      </c>
      <c r="C51" s="283" t="s">
        <v>1769</v>
      </c>
      <c r="D51" s="380"/>
      <c r="E51" s="381"/>
      <c r="F51" s="382">
        <f t="shared" si="2"/>
        <v>0</v>
      </c>
      <c r="G51" s="380">
        <f t="shared" si="3"/>
        <v>0</v>
      </c>
      <c r="H51" s="381">
        <f t="shared" si="3"/>
        <v>0</v>
      </c>
      <c r="I51" s="383">
        <f t="shared" si="6"/>
        <v>0</v>
      </c>
      <c r="J51" s="380">
        <v>0</v>
      </c>
      <c r="K51" s="381">
        <v>0</v>
      </c>
      <c r="L51" s="382">
        <f t="shared" si="4"/>
        <v>0</v>
      </c>
      <c r="M51" s="380"/>
      <c r="N51" s="381"/>
      <c r="O51" s="382">
        <f t="shared" si="7"/>
        <v>0</v>
      </c>
      <c r="P51" s="384">
        <f t="shared" si="5"/>
        <v>714</v>
      </c>
      <c r="Q51" s="381">
        <f t="shared" si="5"/>
        <v>193</v>
      </c>
      <c r="R51" s="383">
        <f t="shared" si="8"/>
        <v>907</v>
      </c>
      <c r="S51" s="380">
        <v>714</v>
      </c>
      <c r="T51" s="381">
        <v>193</v>
      </c>
      <c r="U51" s="382">
        <f t="shared" si="9"/>
        <v>907</v>
      </c>
      <c r="V51" s="380">
        <f t="shared" si="14"/>
        <v>0</v>
      </c>
      <c r="W51" s="381">
        <f t="shared" si="14"/>
        <v>0</v>
      </c>
      <c r="X51" s="382">
        <f t="shared" si="10"/>
        <v>0</v>
      </c>
      <c r="Y51" s="384">
        <f t="shared" si="15"/>
        <v>714</v>
      </c>
      <c r="Z51" s="381">
        <f t="shared" si="15"/>
        <v>193</v>
      </c>
      <c r="AA51" s="383">
        <f t="shared" si="11"/>
        <v>907</v>
      </c>
      <c r="AB51" s="380">
        <f t="shared" si="12"/>
        <v>714</v>
      </c>
      <c r="AC51" s="381">
        <f t="shared" si="12"/>
        <v>193</v>
      </c>
      <c r="AD51" s="382">
        <f t="shared" si="13"/>
        <v>907</v>
      </c>
      <c r="AE51" s="384">
        <v>714</v>
      </c>
      <c r="AF51" s="381">
        <v>193</v>
      </c>
      <c r="AG51" s="382">
        <v>907</v>
      </c>
    </row>
    <row r="52" spans="1:33" ht="20.25" customHeight="1" x14ac:dyDescent="0.2">
      <c r="A52" s="204" t="s">
        <v>1701</v>
      </c>
      <c r="B52" s="205" t="s">
        <v>1744</v>
      </c>
      <c r="C52" s="283" t="s">
        <v>1769</v>
      </c>
      <c r="D52" s="380"/>
      <c r="E52" s="381"/>
      <c r="F52" s="382">
        <f t="shared" si="2"/>
        <v>0</v>
      </c>
      <c r="G52" s="380">
        <f t="shared" si="3"/>
        <v>1886</v>
      </c>
      <c r="H52" s="381">
        <f t="shared" si="3"/>
        <v>509</v>
      </c>
      <c r="I52" s="383">
        <f t="shared" si="6"/>
        <v>2395</v>
      </c>
      <c r="J52" s="380">
        <f>784+1102</f>
        <v>1886</v>
      </c>
      <c r="K52" s="381">
        <f>212+297</f>
        <v>509</v>
      </c>
      <c r="L52" s="382">
        <f t="shared" si="4"/>
        <v>2395</v>
      </c>
      <c r="M52" s="380"/>
      <c r="N52" s="381"/>
      <c r="O52" s="382">
        <f t="shared" si="7"/>
        <v>0</v>
      </c>
      <c r="P52" s="384">
        <f t="shared" si="5"/>
        <v>0</v>
      </c>
      <c r="Q52" s="381">
        <f t="shared" si="5"/>
        <v>0</v>
      </c>
      <c r="R52" s="383">
        <f t="shared" si="8"/>
        <v>0</v>
      </c>
      <c r="S52" s="380"/>
      <c r="T52" s="381"/>
      <c r="U52" s="382">
        <f t="shared" si="9"/>
        <v>0</v>
      </c>
      <c r="V52" s="380">
        <f t="shared" si="14"/>
        <v>0</v>
      </c>
      <c r="W52" s="381">
        <f t="shared" si="14"/>
        <v>0</v>
      </c>
      <c r="X52" s="382">
        <f t="shared" si="10"/>
        <v>0</v>
      </c>
      <c r="Y52" s="384">
        <f t="shared" si="15"/>
        <v>1886</v>
      </c>
      <c r="Z52" s="381">
        <f t="shared" si="15"/>
        <v>509</v>
      </c>
      <c r="AA52" s="383">
        <f t="shared" si="11"/>
        <v>2395</v>
      </c>
      <c r="AB52" s="380">
        <f t="shared" si="12"/>
        <v>1886</v>
      </c>
      <c r="AC52" s="381">
        <f t="shared" si="12"/>
        <v>509</v>
      </c>
      <c r="AD52" s="382">
        <f t="shared" si="13"/>
        <v>2395</v>
      </c>
      <c r="AE52" s="384">
        <v>784</v>
      </c>
      <c r="AF52" s="381">
        <v>212</v>
      </c>
      <c r="AG52" s="382">
        <v>996</v>
      </c>
    </row>
    <row r="53" spans="1:33" ht="20.25" customHeight="1" x14ac:dyDescent="0.2">
      <c r="A53" s="204" t="s">
        <v>1771</v>
      </c>
      <c r="B53" s="205" t="s">
        <v>1772</v>
      </c>
      <c r="C53" s="283" t="s">
        <v>1769</v>
      </c>
      <c r="D53" s="380"/>
      <c r="E53" s="381"/>
      <c r="F53" s="382">
        <f t="shared" si="2"/>
        <v>0</v>
      </c>
      <c r="G53" s="380">
        <f t="shared" si="3"/>
        <v>410</v>
      </c>
      <c r="H53" s="381">
        <f t="shared" si="3"/>
        <v>111</v>
      </c>
      <c r="I53" s="383">
        <f t="shared" si="6"/>
        <v>521</v>
      </c>
      <c r="J53" s="380">
        <v>410</v>
      </c>
      <c r="K53" s="381">
        <v>111</v>
      </c>
      <c r="L53" s="382">
        <f t="shared" si="4"/>
        <v>521</v>
      </c>
      <c r="M53" s="380"/>
      <c r="N53" s="381"/>
      <c r="O53" s="382">
        <f t="shared" si="7"/>
        <v>0</v>
      </c>
      <c r="P53" s="384">
        <f t="shared" si="5"/>
        <v>0</v>
      </c>
      <c r="Q53" s="381">
        <f t="shared" si="5"/>
        <v>0</v>
      </c>
      <c r="R53" s="383">
        <f t="shared" si="8"/>
        <v>0</v>
      </c>
      <c r="S53" s="380"/>
      <c r="T53" s="381"/>
      <c r="U53" s="382">
        <f t="shared" si="9"/>
        <v>0</v>
      </c>
      <c r="V53" s="380">
        <f t="shared" si="14"/>
        <v>0</v>
      </c>
      <c r="W53" s="381">
        <f t="shared" si="14"/>
        <v>0</v>
      </c>
      <c r="X53" s="382">
        <f t="shared" si="10"/>
        <v>0</v>
      </c>
      <c r="Y53" s="384">
        <f t="shared" si="15"/>
        <v>410</v>
      </c>
      <c r="Z53" s="381">
        <f t="shared" si="15"/>
        <v>111</v>
      </c>
      <c r="AA53" s="383">
        <f t="shared" si="11"/>
        <v>521</v>
      </c>
      <c r="AB53" s="380">
        <f t="shared" si="12"/>
        <v>410</v>
      </c>
      <c r="AC53" s="381">
        <f t="shared" si="12"/>
        <v>111</v>
      </c>
      <c r="AD53" s="382">
        <f t="shared" si="13"/>
        <v>521</v>
      </c>
      <c r="AE53" s="384">
        <v>410</v>
      </c>
      <c r="AF53" s="381">
        <v>111</v>
      </c>
      <c r="AG53" s="382">
        <v>521</v>
      </c>
    </row>
    <row r="54" spans="1:33" ht="20.25" customHeight="1" x14ac:dyDescent="0.2">
      <c r="A54" s="204" t="s">
        <v>1739</v>
      </c>
      <c r="B54" s="205" t="s">
        <v>1740</v>
      </c>
      <c r="C54" s="283" t="s">
        <v>1769</v>
      </c>
      <c r="D54" s="380"/>
      <c r="E54" s="381"/>
      <c r="F54" s="382">
        <f t="shared" si="2"/>
        <v>0</v>
      </c>
      <c r="G54" s="380">
        <f t="shared" si="3"/>
        <v>290</v>
      </c>
      <c r="H54" s="381">
        <f t="shared" si="3"/>
        <v>78</v>
      </c>
      <c r="I54" s="383">
        <f t="shared" si="6"/>
        <v>368</v>
      </c>
      <c r="J54" s="380">
        <v>290</v>
      </c>
      <c r="K54" s="381">
        <v>78</v>
      </c>
      <c r="L54" s="382">
        <f t="shared" si="4"/>
        <v>368</v>
      </c>
      <c r="M54" s="380"/>
      <c r="N54" s="381"/>
      <c r="O54" s="382">
        <f t="shared" si="7"/>
        <v>0</v>
      </c>
      <c r="P54" s="384">
        <f t="shared" si="5"/>
        <v>0</v>
      </c>
      <c r="Q54" s="381">
        <f t="shared" si="5"/>
        <v>0</v>
      </c>
      <c r="R54" s="383">
        <f t="shared" si="8"/>
        <v>0</v>
      </c>
      <c r="S54" s="380"/>
      <c r="T54" s="381"/>
      <c r="U54" s="382">
        <f t="shared" si="9"/>
        <v>0</v>
      </c>
      <c r="V54" s="380">
        <f t="shared" si="14"/>
        <v>0</v>
      </c>
      <c r="W54" s="381">
        <f t="shared" si="14"/>
        <v>0</v>
      </c>
      <c r="X54" s="382">
        <f t="shared" si="10"/>
        <v>0</v>
      </c>
      <c r="Y54" s="384">
        <f t="shared" si="15"/>
        <v>290</v>
      </c>
      <c r="Z54" s="381">
        <f t="shared" si="15"/>
        <v>78</v>
      </c>
      <c r="AA54" s="383">
        <f t="shared" si="11"/>
        <v>368</v>
      </c>
      <c r="AB54" s="380">
        <f t="shared" si="12"/>
        <v>290</v>
      </c>
      <c r="AC54" s="381">
        <f t="shared" si="12"/>
        <v>78</v>
      </c>
      <c r="AD54" s="382">
        <f t="shared" si="13"/>
        <v>368</v>
      </c>
      <c r="AE54" s="384">
        <v>290</v>
      </c>
      <c r="AF54" s="381">
        <v>78</v>
      </c>
      <c r="AG54" s="382">
        <v>368</v>
      </c>
    </row>
    <row r="55" spans="1:33" ht="20.25" customHeight="1" x14ac:dyDescent="0.2">
      <c r="A55" s="204" t="s">
        <v>1705</v>
      </c>
      <c r="B55" s="205" t="s">
        <v>1745</v>
      </c>
      <c r="C55" s="283" t="s">
        <v>1769</v>
      </c>
      <c r="D55" s="380"/>
      <c r="E55" s="381"/>
      <c r="F55" s="382">
        <f t="shared" si="2"/>
        <v>0</v>
      </c>
      <c r="G55" s="380">
        <f t="shared" si="3"/>
        <v>0</v>
      </c>
      <c r="H55" s="381">
        <f t="shared" si="3"/>
        <v>0</v>
      </c>
      <c r="I55" s="383">
        <f t="shared" si="6"/>
        <v>0</v>
      </c>
      <c r="J55" s="380">
        <v>0</v>
      </c>
      <c r="K55" s="381">
        <v>0</v>
      </c>
      <c r="L55" s="382">
        <f t="shared" si="4"/>
        <v>0</v>
      </c>
      <c r="M55" s="380"/>
      <c r="N55" s="381"/>
      <c r="O55" s="382">
        <f t="shared" si="7"/>
        <v>0</v>
      </c>
      <c r="P55" s="384">
        <f t="shared" si="5"/>
        <v>1829</v>
      </c>
      <c r="Q55" s="381">
        <f t="shared" si="5"/>
        <v>489</v>
      </c>
      <c r="R55" s="383">
        <f t="shared" si="8"/>
        <v>2318</v>
      </c>
      <c r="S55" s="380">
        <f>136+1693</f>
        <v>1829</v>
      </c>
      <c r="T55" s="381">
        <f>32+457</f>
        <v>489</v>
      </c>
      <c r="U55" s="382">
        <f t="shared" si="9"/>
        <v>2318</v>
      </c>
      <c r="V55" s="380">
        <f t="shared" si="14"/>
        <v>0</v>
      </c>
      <c r="W55" s="381">
        <f t="shared" si="14"/>
        <v>0</v>
      </c>
      <c r="X55" s="382">
        <f t="shared" si="10"/>
        <v>0</v>
      </c>
      <c r="Y55" s="384">
        <f t="shared" si="15"/>
        <v>1829</v>
      </c>
      <c r="Z55" s="381">
        <f t="shared" si="15"/>
        <v>489</v>
      </c>
      <c r="AA55" s="383">
        <f t="shared" si="11"/>
        <v>2318</v>
      </c>
      <c r="AB55" s="380">
        <f t="shared" si="12"/>
        <v>1829</v>
      </c>
      <c r="AC55" s="381">
        <f t="shared" si="12"/>
        <v>489</v>
      </c>
      <c r="AD55" s="382">
        <f t="shared" si="13"/>
        <v>2318</v>
      </c>
      <c r="AE55" s="384">
        <v>136</v>
      </c>
      <c r="AF55" s="381">
        <v>32</v>
      </c>
      <c r="AG55" s="382">
        <v>168</v>
      </c>
    </row>
    <row r="56" spans="1:33" ht="22.5" customHeight="1" x14ac:dyDescent="0.2">
      <c r="A56" s="204" t="s">
        <v>1773</v>
      </c>
      <c r="B56" s="205" t="s">
        <v>1747</v>
      </c>
      <c r="C56" s="283" t="s">
        <v>1769</v>
      </c>
      <c r="D56" s="380"/>
      <c r="E56" s="381"/>
      <c r="F56" s="382">
        <f t="shared" si="2"/>
        <v>0</v>
      </c>
      <c r="G56" s="380">
        <f t="shared" si="3"/>
        <v>0</v>
      </c>
      <c r="H56" s="381">
        <f t="shared" si="3"/>
        <v>0</v>
      </c>
      <c r="I56" s="383">
        <f t="shared" si="6"/>
        <v>0</v>
      </c>
      <c r="J56" s="380">
        <v>0</v>
      </c>
      <c r="K56" s="381">
        <v>0</v>
      </c>
      <c r="L56" s="382">
        <f t="shared" si="4"/>
        <v>0</v>
      </c>
      <c r="M56" s="380"/>
      <c r="N56" s="381"/>
      <c r="O56" s="382">
        <f t="shared" si="7"/>
        <v>0</v>
      </c>
      <c r="P56" s="384">
        <f t="shared" si="5"/>
        <v>100</v>
      </c>
      <c r="Q56" s="381">
        <f t="shared" si="5"/>
        <v>27</v>
      </c>
      <c r="R56" s="383">
        <f t="shared" si="8"/>
        <v>127</v>
      </c>
      <c r="S56" s="380">
        <v>100</v>
      </c>
      <c r="T56" s="381">
        <v>27</v>
      </c>
      <c r="U56" s="382">
        <f t="shared" si="9"/>
        <v>127</v>
      </c>
      <c r="V56" s="380">
        <f t="shared" si="14"/>
        <v>0</v>
      </c>
      <c r="W56" s="381">
        <f t="shared" si="14"/>
        <v>0</v>
      </c>
      <c r="X56" s="382">
        <f t="shared" si="10"/>
        <v>0</v>
      </c>
      <c r="Y56" s="384">
        <f t="shared" si="15"/>
        <v>100</v>
      </c>
      <c r="Z56" s="381">
        <f t="shared" si="15"/>
        <v>27</v>
      </c>
      <c r="AA56" s="383">
        <f t="shared" si="11"/>
        <v>127</v>
      </c>
      <c r="AB56" s="380">
        <f t="shared" si="12"/>
        <v>100</v>
      </c>
      <c r="AC56" s="381">
        <f t="shared" si="12"/>
        <v>27</v>
      </c>
      <c r="AD56" s="382">
        <f t="shared" si="13"/>
        <v>127</v>
      </c>
      <c r="AE56" s="384">
        <v>100</v>
      </c>
      <c r="AF56" s="381">
        <v>27</v>
      </c>
      <c r="AG56" s="382">
        <v>127</v>
      </c>
    </row>
    <row r="57" spans="1:33" ht="30.75" customHeight="1" x14ac:dyDescent="0.2">
      <c r="A57" s="204" t="s">
        <v>1699</v>
      </c>
      <c r="B57" s="205" t="s">
        <v>1774</v>
      </c>
      <c r="C57" s="283" t="s">
        <v>1769</v>
      </c>
      <c r="D57" s="380"/>
      <c r="E57" s="381"/>
      <c r="F57" s="382">
        <f t="shared" si="2"/>
        <v>0</v>
      </c>
      <c r="G57" s="380">
        <f t="shared" si="3"/>
        <v>0</v>
      </c>
      <c r="H57" s="381">
        <f t="shared" si="3"/>
        <v>0</v>
      </c>
      <c r="I57" s="383">
        <f t="shared" si="6"/>
        <v>0</v>
      </c>
      <c r="J57" s="380">
        <v>0</v>
      </c>
      <c r="K57" s="381">
        <v>0</v>
      </c>
      <c r="L57" s="382">
        <f t="shared" si="4"/>
        <v>0</v>
      </c>
      <c r="M57" s="380"/>
      <c r="N57" s="381"/>
      <c r="O57" s="382">
        <f t="shared" si="7"/>
        <v>0</v>
      </c>
      <c r="P57" s="384">
        <f t="shared" si="5"/>
        <v>213</v>
      </c>
      <c r="Q57" s="381">
        <f t="shared" si="5"/>
        <v>57</v>
      </c>
      <c r="R57" s="383">
        <f t="shared" si="8"/>
        <v>270</v>
      </c>
      <c r="S57" s="380">
        <v>213</v>
      </c>
      <c r="T57" s="381">
        <v>57</v>
      </c>
      <c r="U57" s="382">
        <f t="shared" si="9"/>
        <v>270</v>
      </c>
      <c r="V57" s="380">
        <f t="shared" si="14"/>
        <v>0</v>
      </c>
      <c r="W57" s="381">
        <f t="shared" si="14"/>
        <v>0</v>
      </c>
      <c r="X57" s="382">
        <f t="shared" si="10"/>
        <v>0</v>
      </c>
      <c r="Y57" s="384">
        <f t="shared" si="15"/>
        <v>213</v>
      </c>
      <c r="Z57" s="381">
        <f t="shared" si="15"/>
        <v>57</v>
      </c>
      <c r="AA57" s="383">
        <f t="shared" si="11"/>
        <v>270</v>
      </c>
      <c r="AB57" s="380">
        <f t="shared" si="12"/>
        <v>213</v>
      </c>
      <c r="AC57" s="381">
        <f t="shared" si="12"/>
        <v>57</v>
      </c>
      <c r="AD57" s="382">
        <f t="shared" si="13"/>
        <v>270</v>
      </c>
      <c r="AE57" s="384">
        <v>213</v>
      </c>
      <c r="AF57" s="381">
        <v>57</v>
      </c>
      <c r="AG57" s="382">
        <v>270</v>
      </c>
    </row>
    <row r="58" spans="1:33" ht="20.25" customHeight="1" x14ac:dyDescent="0.2">
      <c r="A58" s="204" t="s">
        <v>1748</v>
      </c>
      <c r="B58" s="205" t="s">
        <v>1749</v>
      </c>
      <c r="C58" s="283" t="s">
        <v>1769</v>
      </c>
      <c r="D58" s="380"/>
      <c r="E58" s="381"/>
      <c r="F58" s="382">
        <f t="shared" si="2"/>
        <v>0</v>
      </c>
      <c r="G58" s="380">
        <f t="shared" si="3"/>
        <v>0</v>
      </c>
      <c r="H58" s="381">
        <f t="shared" si="3"/>
        <v>0</v>
      </c>
      <c r="I58" s="383">
        <f t="shared" si="6"/>
        <v>0</v>
      </c>
      <c r="J58" s="380">
        <v>0</v>
      </c>
      <c r="K58" s="381">
        <v>0</v>
      </c>
      <c r="L58" s="382">
        <f t="shared" si="4"/>
        <v>0</v>
      </c>
      <c r="M58" s="380"/>
      <c r="N58" s="381"/>
      <c r="O58" s="382">
        <f t="shared" si="7"/>
        <v>0</v>
      </c>
      <c r="P58" s="384">
        <f t="shared" si="5"/>
        <v>19</v>
      </c>
      <c r="Q58" s="381">
        <f t="shared" si="5"/>
        <v>5</v>
      </c>
      <c r="R58" s="383">
        <f t="shared" si="8"/>
        <v>24</v>
      </c>
      <c r="S58" s="380">
        <v>19</v>
      </c>
      <c r="T58" s="381">
        <v>5</v>
      </c>
      <c r="U58" s="382">
        <f t="shared" si="9"/>
        <v>24</v>
      </c>
      <c r="V58" s="380">
        <f t="shared" si="14"/>
        <v>0</v>
      </c>
      <c r="W58" s="381">
        <f t="shared" si="14"/>
        <v>0</v>
      </c>
      <c r="X58" s="382">
        <f t="shared" si="10"/>
        <v>0</v>
      </c>
      <c r="Y58" s="384">
        <f t="shared" si="15"/>
        <v>19</v>
      </c>
      <c r="Z58" s="381">
        <f t="shared" si="15"/>
        <v>5</v>
      </c>
      <c r="AA58" s="383">
        <f t="shared" si="11"/>
        <v>24</v>
      </c>
      <c r="AB58" s="380">
        <f t="shared" si="12"/>
        <v>19</v>
      </c>
      <c r="AC58" s="381">
        <f t="shared" si="12"/>
        <v>5</v>
      </c>
      <c r="AD58" s="382">
        <f t="shared" si="13"/>
        <v>24</v>
      </c>
      <c r="AE58" s="384">
        <v>19</v>
      </c>
      <c r="AF58" s="381">
        <v>5</v>
      </c>
      <c r="AG58" s="382">
        <v>24</v>
      </c>
    </row>
    <row r="59" spans="1:33" ht="20.25" customHeight="1" x14ac:dyDescent="0.2">
      <c r="A59" s="204" t="s">
        <v>1775</v>
      </c>
      <c r="B59" s="205" t="s">
        <v>1776</v>
      </c>
      <c r="C59" s="283" t="s">
        <v>1769</v>
      </c>
      <c r="D59" s="380"/>
      <c r="E59" s="381"/>
      <c r="F59" s="382">
        <f t="shared" si="2"/>
        <v>0</v>
      </c>
      <c r="G59" s="380">
        <f t="shared" si="3"/>
        <v>0</v>
      </c>
      <c r="H59" s="381">
        <f t="shared" si="3"/>
        <v>0</v>
      </c>
      <c r="I59" s="383">
        <f t="shared" si="6"/>
        <v>0</v>
      </c>
      <c r="J59" s="380">
        <v>0</v>
      </c>
      <c r="K59" s="381">
        <v>0</v>
      </c>
      <c r="L59" s="382">
        <f t="shared" si="4"/>
        <v>0</v>
      </c>
      <c r="M59" s="380"/>
      <c r="N59" s="381"/>
      <c r="O59" s="382">
        <f t="shared" si="7"/>
        <v>0</v>
      </c>
      <c r="P59" s="384">
        <f t="shared" si="5"/>
        <v>66</v>
      </c>
      <c r="Q59" s="381">
        <f t="shared" si="5"/>
        <v>18</v>
      </c>
      <c r="R59" s="383">
        <f t="shared" si="8"/>
        <v>84</v>
      </c>
      <c r="S59" s="380">
        <v>66</v>
      </c>
      <c r="T59" s="381">
        <v>18</v>
      </c>
      <c r="U59" s="382">
        <f t="shared" si="9"/>
        <v>84</v>
      </c>
      <c r="V59" s="380">
        <f t="shared" si="14"/>
        <v>0</v>
      </c>
      <c r="W59" s="381">
        <f t="shared" si="14"/>
        <v>0</v>
      </c>
      <c r="X59" s="382">
        <f t="shared" si="10"/>
        <v>0</v>
      </c>
      <c r="Y59" s="384">
        <f t="shared" si="15"/>
        <v>66</v>
      </c>
      <c r="Z59" s="381">
        <f t="shared" si="15"/>
        <v>18</v>
      </c>
      <c r="AA59" s="383">
        <f t="shared" si="11"/>
        <v>84</v>
      </c>
      <c r="AB59" s="380">
        <f t="shared" si="12"/>
        <v>66</v>
      </c>
      <c r="AC59" s="381">
        <f t="shared" si="12"/>
        <v>18</v>
      </c>
      <c r="AD59" s="382">
        <f t="shared" si="13"/>
        <v>84</v>
      </c>
      <c r="AE59" s="384">
        <v>66</v>
      </c>
      <c r="AF59" s="381">
        <v>18</v>
      </c>
      <c r="AG59" s="382">
        <v>84</v>
      </c>
    </row>
    <row r="60" spans="1:33" ht="20.25" customHeight="1" x14ac:dyDescent="0.2">
      <c r="A60" s="204" t="s">
        <v>1777</v>
      </c>
      <c r="B60" s="205" t="s">
        <v>1778</v>
      </c>
      <c r="C60" s="283" t="s">
        <v>1769</v>
      </c>
      <c r="D60" s="380"/>
      <c r="E60" s="381"/>
      <c r="F60" s="382">
        <f t="shared" si="2"/>
        <v>0</v>
      </c>
      <c r="G60" s="380">
        <f t="shared" si="3"/>
        <v>0</v>
      </c>
      <c r="H60" s="381">
        <f t="shared" si="3"/>
        <v>0</v>
      </c>
      <c r="I60" s="383">
        <f t="shared" si="6"/>
        <v>0</v>
      </c>
      <c r="J60" s="380">
        <v>0</v>
      </c>
      <c r="K60" s="381">
        <v>0</v>
      </c>
      <c r="L60" s="382">
        <f t="shared" si="4"/>
        <v>0</v>
      </c>
      <c r="M60" s="380"/>
      <c r="N60" s="381"/>
      <c r="O60" s="382">
        <f t="shared" si="7"/>
        <v>0</v>
      </c>
      <c r="P60" s="384">
        <f t="shared" si="5"/>
        <v>43</v>
      </c>
      <c r="Q60" s="381">
        <f t="shared" si="5"/>
        <v>12</v>
      </c>
      <c r="R60" s="383">
        <f t="shared" si="8"/>
        <v>55</v>
      </c>
      <c r="S60" s="380">
        <v>43</v>
      </c>
      <c r="T60" s="381">
        <v>12</v>
      </c>
      <c r="U60" s="382">
        <f t="shared" si="9"/>
        <v>55</v>
      </c>
      <c r="V60" s="380">
        <f t="shared" si="14"/>
        <v>0</v>
      </c>
      <c r="W60" s="381">
        <f t="shared" si="14"/>
        <v>0</v>
      </c>
      <c r="X60" s="382">
        <f t="shared" si="10"/>
        <v>0</v>
      </c>
      <c r="Y60" s="384">
        <f t="shared" si="15"/>
        <v>43</v>
      </c>
      <c r="Z60" s="381">
        <f t="shared" si="15"/>
        <v>12</v>
      </c>
      <c r="AA60" s="383">
        <f t="shared" si="11"/>
        <v>55</v>
      </c>
      <c r="AB60" s="380">
        <f t="shared" si="12"/>
        <v>43</v>
      </c>
      <c r="AC60" s="381">
        <f t="shared" si="12"/>
        <v>12</v>
      </c>
      <c r="AD60" s="382">
        <f t="shared" si="13"/>
        <v>55</v>
      </c>
      <c r="AE60" s="384">
        <v>43</v>
      </c>
      <c r="AF60" s="381">
        <v>12</v>
      </c>
      <c r="AG60" s="382">
        <v>55</v>
      </c>
    </row>
    <row r="61" spans="1:33" ht="20.25" customHeight="1" x14ac:dyDescent="0.2">
      <c r="A61" s="204" t="s">
        <v>1779</v>
      </c>
      <c r="B61" s="205" t="s">
        <v>1780</v>
      </c>
      <c r="C61" s="283" t="s">
        <v>1769</v>
      </c>
      <c r="D61" s="380"/>
      <c r="E61" s="381"/>
      <c r="F61" s="382">
        <f t="shared" si="2"/>
        <v>0</v>
      </c>
      <c r="G61" s="380">
        <f t="shared" si="3"/>
        <v>135</v>
      </c>
      <c r="H61" s="381">
        <f t="shared" si="3"/>
        <v>36</v>
      </c>
      <c r="I61" s="383">
        <f t="shared" si="6"/>
        <v>171</v>
      </c>
      <c r="J61" s="380">
        <v>135</v>
      </c>
      <c r="K61" s="381">
        <v>36</v>
      </c>
      <c r="L61" s="382">
        <f t="shared" si="4"/>
        <v>171</v>
      </c>
      <c r="M61" s="380"/>
      <c r="N61" s="381"/>
      <c r="O61" s="382">
        <f t="shared" si="7"/>
        <v>0</v>
      </c>
      <c r="P61" s="384">
        <f t="shared" si="5"/>
        <v>0</v>
      </c>
      <c r="Q61" s="381">
        <f t="shared" si="5"/>
        <v>0</v>
      </c>
      <c r="R61" s="383">
        <f t="shared" si="8"/>
        <v>0</v>
      </c>
      <c r="S61" s="380"/>
      <c r="T61" s="381"/>
      <c r="U61" s="382">
        <f t="shared" si="9"/>
        <v>0</v>
      </c>
      <c r="V61" s="380">
        <f t="shared" si="14"/>
        <v>0</v>
      </c>
      <c r="W61" s="381">
        <f t="shared" si="14"/>
        <v>0</v>
      </c>
      <c r="X61" s="382">
        <f t="shared" si="10"/>
        <v>0</v>
      </c>
      <c r="Y61" s="384">
        <f t="shared" si="15"/>
        <v>135</v>
      </c>
      <c r="Z61" s="381">
        <f t="shared" si="15"/>
        <v>36</v>
      </c>
      <c r="AA61" s="383">
        <f t="shared" si="11"/>
        <v>171</v>
      </c>
      <c r="AB61" s="380">
        <f t="shared" si="12"/>
        <v>135</v>
      </c>
      <c r="AC61" s="381">
        <f t="shared" si="12"/>
        <v>36</v>
      </c>
      <c r="AD61" s="382">
        <f t="shared" si="13"/>
        <v>171</v>
      </c>
      <c r="AE61" s="384">
        <v>135</v>
      </c>
      <c r="AF61" s="381">
        <v>36</v>
      </c>
      <c r="AG61" s="382">
        <v>171</v>
      </c>
    </row>
    <row r="62" spans="1:33" ht="27.75" customHeight="1" thickBot="1" x14ac:dyDescent="0.25">
      <c r="A62" s="204" t="s">
        <v>1763</v>
      </c>
      <c r="B62" s="205" t="s">
        <v>1781</v>
      </c>
      <c r="C62" s="283" t="s">
        <v>1769</v>
      </c>
      <c r="D62" s="380"/>
      <c r="E62" s="381"/>
      <c r="F62" s="382">
        <f t="shared" si="2"/>
        <v>0</v>
      </c>
      <c r="G62" s="380">
        <f t="shared" si="3"/>
        <v>169</v>
      </c>
      <c r="H62" s="381">
        <f t="shared" si="3"/>
        <v>46</v>
      </c>
      <c r="I62" s="383">
        <f t="shared" si="6"/>
        <v>215</v>
      </c>
      <c r="J62" s="380">
        <v>169</v>
      </c>
      <c r="K62" s="381">
        <v>46</v>
      </c>
      <c r="L62" s="382">
        <f t="shared" si="4"/>
        <v>215</v>
      </c>
      <c r="M62" s="380"/>
      <c r="N62" s="381"/>
      <c r="O62" s="382">
        <f t="shared" si="7"/>
        <v>0</v>
      </c>
      <c r="P62" s="384">
        <f t="shared" si="5"/>
        <v>0</v>
      </c>
      <c r="Q62" s="381">
        <f t="shared" si="5"/>
        <v>0</v>
      </c>
      <c r="R62" s="383">
        <f t="shared" si="8"/>
        <v>0</v>
      </c>
      <c r="S62" s="380"/>
      <c r="T62" s="381"/>
      <c r="U62" s="382">
        <f t="shared" si="9"/>
        <v>0</v>
      </c>
      <c r="V62" s="380">
        <f t="shared" si="14"/>
        <v>0</v>
      </c>
      <c r="W62" s="381">
        <f t="shared" si="14"/>
        <v>0</v>
      </c>
      <c r="X62" s="382">
        <f t="shared" si="10"/>
        <v>0</v>
      </c>
      <c r="Y62" s="384">
        <f t="shared" si="15"/>
        <v>169</v>
      </c>
      <c r="Z62" s="381">
        <f t="shared" si="15"/>
        <v>46</v>
      </c>
      <c r="AA62" s="383">
        <f t="shared" si="11"/>
        <v>215</v>
      </c>
      <c r="AB62" s="380">
        <f t="shared" si="12"/>
        <v>169</v>
      </c>
      <c r="AC62" s="381">
        <f t="shared" si="12"/>
        <v>46</v>
      </c>
      <c r="AD62" s="382">
        <f t="shared" si="13"/>
        <v>215</v>
      </c>
      <c r="AE62" s="384">
        <v>169</v>
      </c>
      <c r="AF62" s="381">
        <v>46</v>
      </c>
      <c r="AG62" s="382">
        <v>215</v>
      </c>
    </row>
    <row r="63" spans="1:33" ht="22.5" x14ac:dyDescent="0.2">
      <c r="A63" s="201" t="s">
        <v>1782</v>
      </c>
      <c r="B63" s="202" t="s">
        <v>324</v>
      </c>
      <c r="C63" s="281" t="s">
        <v>1783</v>
      </c>
      <c r="D63" s="375"/>
      <c r="E63" s="376"/>
      <c r="F63" s="377">
        <f t="shared" si="2"/>
        <v>0</v>
      </c>
      <c r="G63" s="375"/>
      <c r="H63" s="376"/>
      <c r="I63" s="378">
        <f t="shared" si="6"/>
        <v>0</v>
      </c>
      <c r="J63" s="375"/>
      <c r="K63" s="376"/>
      <c r="L63" s="377">
        <f t="shared" si="4"/>
        <v>0</v>
      </c>
      <c r="M63" s="375">
        <v>1000</v>
      </c>
      <c r="N63" s="376"/>
      <c r="O63" s="377">
        <f t="shared" si="7"/>
        <v>1000</v>
      </c>
      <c r="P63" s="379">
        <f>+S63-M63</f>
        <v>-733</v>
      </c>
      <c r="Q63" s="376">
        <f>+T63-N63</f>
        <v>0</v>
      </c>
      <c r="R63" s="378">
        <f t="shared" si="8"/>
        <v>-733</v>
      </c>
      <c r="S63" s="375">
        <v>267</v>
      </c>
      <c r="T63" s="376">
        <v>0</v>
      </c>
      <c r="U63" s="377">
        <f t="shared" si="9"/>
        <v>267</v>
      </c>
      <c r="V63" s="375">
        <f t="shared" si="14"/>
        <v>1000</v>
      </c>
      <c r="W63" s="376">
        <f t="shared" si="14"/>
        <v>0</v>
      </c>
      <c r="X63" s="377">
        <f t="shared" si="10"/>
        <v>1000</v>
      </c>
      <c r="Y63" s="379">
        <f t="shared" si="15"/>
        <v>-733</v>
      </c>
      <c r="Z63" s="376">
        <f t="shared" si="15"/>
        <v>0</v>
      </c>
      <c r="AA63" s="378">
        <f t="shared" si="11"/>
        <v>-733</v>
      </c>
      <c r="AB63" s="375">
        <f t="shared" ref="AB63:AC76" si="16">+V63+Y63</f>
        <v>267</v>
      </c>
      <c r="AC63" s="376">
        <f t="shared" si="16"/>
        <v>0</v>
      </c>
      <c r="AD63" s="377">
        <f t="shared" si="13"/>
        <v>267</v>
      </c>
      <c r="AE63" s="379">
        <v>210</v>
      </c>
      <c r="AF63" s="376">
        <v>57</v>
      </c>
      <c r="AG63" s="377">
        <v>267</v>
      </c>
    </row>
    <row r="64" spans="1:33" ht="23.25" thickBot="1" x14ac:dyDescent="0.25">
      <c r="A64" s="288" t="s">
        <v>1709</v>
      </c>
      <c r="B64" s="289" t="s">
        <v>324</v>
      </c>
      <c r="C64" s="290" t="s">
        <v>1783</v>
      </c>
      <c r="D64" s="388"/>
      <c r="E64" s="389"/>
      <c r="F64" s="390">
        <f t="shared" si="2"/>
        <v>0</v>
      </c>
      <c r="G64" s="388"/>
      <c r="H64" s="389"/>
      <c r="I64" s="391">
        <f t="shared" si="6"/>
        <v>0</v>
      </c>
      <c r="J64" s="388"/>
      <c r="K64" s="389"/>
      <c r="L64" s="390">
        <f t="shared" si="4"/>
        <v>0</v>
      </c>
      <c r="M64" s="388">
        <v>1000</v>
      </c>
      <c r="N64" s="389"/>
      <c r="O64" s="390">
        <f t="shared" si="7"/>
        <v>1000</v>
      </c>
      <c r="P64" s="392">
        <f>+S64-M64</f>
        <v>213</v>
      </c>
      <c r="Q64" s="389">
        <f>+T64-N64</f>
        <v>0</v>
      </c>
      <c r="R64" s="391">
        <f t="shared" si="8"/>
        <v>213</v>
      </c>
      <c r="S64" s="388">
        <v>1213</v>
      </c>
      <c r="T64" s="389">
        <v>0</v>
      </c>
      <c r="U64" s="390">
        <f t="shared" si="9"/>
        <v>1213</v>
      </c>
      <c r="V64" s="388">
        <f t="shared" si="14"/>
        <v>1000</v>
      </c>
      <c r="W64" s="389">
        <f t="shared" si="14"/>
        <v>0</v>
      </c>
      <c r="X64" s="390">
        <f t="shared" si="10"/>
        <v>1000</v>
      </c>
      <c r="Y64" s="392">
        <f t="shared" si="15"/>
        <v>213</v>
      </c>
      <c r="Z64" s="389">
        <f t="shared" si="15"/>
        <v>0</v>
      </c>
      <c r="AA64" s="391">
        <f t="shared" si="11"/>
        <v>213</v>
      </c>
      <c r="AB64" s="388">
        <f t="shared" si="16"/>
        <v>1213</v>
      </c>
      <c r="AC64" s="389">
        <f t="shared" si="16"/>
        <v>0</v>
      </c>
      <c r="AD64" s="390">
        <f t="shared" si="13"/>
        <v>1213</v>
      </c>
      <c r="AE64" s="392">
        <v>955</v>
      </c>
      <c r="AF64" s="389">
        <v>258</v>
      </c>
      <c r="AG64" s="390">
        <v>1213</v>
      </c>
    </row>
    <row r="65" spans="1:33" ht="22.5" x14ac:dyDescent="0.2">
      <c r="A65" s="201" t="s">
        <v>1711</v>
      </c>
      <c r="B65" s="202" t="s">
        <v>1712</v>
      </c>
      <c r="C65" s="281" t="s">
        <v>1784</v>
      </c>
      <c r="D65" s="375"/>
      <c r="E65" s="376"/>
      <c r="F65" s="377">
        <f t="shared" si="2"/>
        <v>0</v>
      </c>
      <c r="G65" s="375"/>
      <c r="H65" s="376"/>
      <c r="I65" s="378">
        <f t="shared" si="6"/>
        <v>0</v>
      </c>
      <c r="J65" s="375"/>
      <c r="K65" s="376"/>
      <c r="L65" s="377">
        <f t="shared" si="4"/>
        <v>0</v>
      </c>
      <c r="M65" s="375">
        <v>400</v>
      </c>
      <c r="N65" s="376"/>
      <c r="O65" s="377">
        <f t="shared" si="7"/>
        <v>400</v>
      </c>
      <c r="P65" s="379">
        <f>+S65+M65</f>
        <v>850</v>
      </c>
      <c r="Q65" s="376">
        <f>+T65+N65</f>
        <v>0</v>
      </c>
      <c r="R65" s="378">
        <f t="shared" si="8"/>
        <v>850</v>
      </c>
      <c r="S65" s="375">
        <v>450</v>
      </c>
      <c r="T65" s="376">
        <v>0</v>
      </c>
      <c r="U65" s="377">
        <f t="shared" si="9"/>
        <v>450</v>
      </c>
      <c r="V65" s="375">
        <f t="shared" si="14"/>
        <v>400</v>
      </c>
      <c r="W65" s="376">
        <f t="shared" si="14"/>
        <v>0</v>
      </c>
      <c r="X65" s="377">
        <f t="shared" si="10"/>
        <v>400</v>
      </c>
      <c r="Y65" s="379">
        <f t="shared" si="15"/>
        <v>850</v>
      </c>
      <c r="Z65" s="376">
        <f t="shared" si="15"/>
        <v>0</v>
      </c>
      <c r="AA65" s="378">
        <f t="shared" si="11"/>
        <v>850</v>
      </c>
      <c r="AB65" s="375">
        <f t="shared" si="16"/>
        <v>1250</v>
      </c>
      <c r="AC65" s="376">
        <f t="shared" si="16"/>
        <v>0</v>
      </c>
      <c r="AD65" s="377">
        <f t="shared" si="13"/>
        <v>1250</v>
      </c>
      <c r="AE65" s="379">
        <v>354</v>
      </c>
      <c r="AF65" s="376">
        <v>96</v>
      </c>
      <c r="AG65" s="377">
        <v>450</v>
      </c>
    </row>
    <row r="66" spans="1:33" ht="22.5" x14ac:dyDescent="0.2">
      <c r="A66" s="284" t="s">
        <v>1711</v>
      </c>
      <c r="B66" s="287" t="s">
        <v>1712</v>
      </c>
      <c r="C66" s="285" t="s">
        <v>1785</v>
      </c>
      <c r="D66" s="385"/>
      <c r="E66" s="386"/>
      <c r="F66" s="393">
        <f t="shared" si="2"/>
        <v>0</v>
      </c>
      <c r="G66" s="385"/>
      <c r="H66" s="386"/>
      <c r="I66" s="394">
        <f t="shared" si="6"/>
        <v>0</v>
      </c>
      <c r="J66" s="385"/>
      <c r="K66" s="386"/>
      <c r="L66" s="393">
        <f t="shared" si="4"/>
        <v>0</v>
      </c>
      <c r="M66" s="380">
        <v>100</v>
      </c>
      <c r="N66" s="381"/>
      <c r="O66" s="393">
        <f t="shared" si="7"/>
        <v>100</v>
      </c>
      <c r="P66" s="384">
        <f t="shared" ref="P66:Q68" si="17">+S66-M66</f>
        <v>131</v>
      </c>
      <c r="Q66" s="381">
        <f t="shared" si="17"/>
        <v>0</v>
      </c>
      <c r="R66" s="394">
        <f t="shared" si="8"/>
        <v>131</v>
      </c>
      <c r="S66" s="385">
        <v>231</v>
      </c>
      <c r="T66" s="386">
        <v>0</v>
      </c>
      <c r="U66" s="393">
        <f t="shared" si="9"/>
        <v>231</v>
      </c>
      <c r="V66" s="380">
        <f t="shared" si="14"/>
        <v>100</v>
      </c>
      <c r="W66" s="381">
        <f t="shared" si="14"/>
        <v>0</v>
      </c>
      <c r="X66" s="393">
        <f t="shared" si="10"/>
        <v>100</v>
      </c>
      <c r="Y66" s="384">
        <f t="shared" si="15"/>
        <v>131</v>
      </c>
      <c r="Z66" s="381">
        <f t="shared" si="15"/>
        <v>0</v>
      </c>
      <c r="AA66" s="394">
        <f t="shared" si="11"/>
        <v>131</v>
      </c>
      <c r="AB66" s="385">
        <f t="shared" si="16"/>
        <v>231</v>
      </c>
      <c r="AC66" s="386">
        <f t="shared" si="16"/>
        <v>0</v>
      </c>
      <c r="AD66" s="393">
        <f t="shared" si="13"/>
        <v>231</v>
      </c>
      <c r="AE66" s="384">
        <v>182</v>
      </c>
      <c r="AF66" s="381">
        <v>49</v>
      </c>
      <c r="AG66" s="393">
        <v>231</v>
      </c>
    </row>
    <row r="67" spans="1:33" ht="22.5" x14ac:dyDescent="0.2">
      <c r="A67" s="204" t="s">
        <v>1711</v>
      </c>
      <c r="B67" s="205" t="s">
        <v>1712</v>
      </c>
      <c r="C67" s="283" t="s">
        <v>1786</v>
      </c>
      <c r="D67" s="380"/>
      <c r="E67" s="381"/>
      <c r="F67" s="393">
        <f t="shared" si="2"/>
        <v>0</v>
      </c>
      <c r="G67" s="380"/>
      <c r="H67" s="381"/>
      <c r="I67" s="394">
        <f t="shared" si="6"/>
        <v>0</v>
      </c>
      <c r="J67" s="380"/>
      <c r="K67" s="381"/>
      <c r="L67" s="393">
        <f t="shared" si="4"/>
        <v>0</v>
      </c>
      <c r="M67" s="380"/>
      <c r="N67" s="381"/>
      <c r="O67" s="393">
        <f t="shared" si="7"/>
        <v>0</v>
      </c>
      <c r="P67" s="384">
        <f t="shared" si="17"/>
        <v>160</v>
      </c>
      <c r="Q67" s="381">
        <f t="shared" si="17"/>
        <v>0</v>
      </c>
      <c r="R67" s="394">
        <f t="shared" si="8"/>
        <v>160</v>
      </c>
      <c r="S67" s="380">
        <v>160</v>
      </c>
      <c r="T67" s="381">
        <v>0</v>
      </c>
      <c r="U67" s="393">
        <f t="shared" si="9"/>
        <v>160</v>
      </c>
      <c r="V67" s="380">
        <f t="shared" si="14"/>
        <v>0</v>
      </c>
      <c r="W67" s="381">
        <f t="shared" si="14"/>
        <v>0</v>
      </c>
      <c r="X67" s="393">
        <f t="shared" si="10"/>
        <v>0</v>
      </c>
      <c r="Y67" s="384">
        <f t="shared" si="15"/>
        <v>160</v>
      </c>
      <c r="Z67" s="381">
        <f t="shared" si="15"/>
        <v>0</v>
      </c>
      <c r="AA67" s="394">
        <f t="shared" si="11"/>
        <v>160</v>
      </c>
      <c r="AB67" s="380">
        <f t="shared" si="16"/>
        <v>160</v>
      </c>
      <c r="AC67" s="381">
        <f t="shared" si="16"/>
        <v>0</v>
      </c>
      <c r="AD67" s="393">
        <f t="shared" si="13"/>
        <v>160</v>
      </c>
      <c r="AE67" s="384">
        <v>126</v>
      </c>
      <c r="AF67" s="381">
        <v>34</v>
      </c>
      <c r="AG67" s="393">
        <v>160</v>
      </c>
    </row>
    <row r="68" spans="1:33" ht="24" customHeight="1" thickBot="1" x14ac:dyDescent="0.25">
      <c r="A68" s="211" t="s">
        <v>1711</v>
      </c>
      <c r="B68" s="212" t="s">
        <v>1712</v>
      </c>
      <c r="C68" s="290" t="s">
        <v>1787</v>
      </c>
      <c r="D68" s="395"/>
      <c r="E68" s="396"/>
      <c r="F68" s="397">
        <f t="shared" si="2"/>
        <v>0</v>
      </c>
      <c r="G68" s="395"/>
      <c r="H68" s="396"/>
      <c r="I68" s="398">
        <f t="shared" si="6"/>
        <v>0</v>
      </c>
      <c r="J68" s="395"/>
      <c r="K68" s="396"/>
      <c r="L68" s="397">
        <f t="shared" si="4"/>
        <v>0</v>
      </c>
      <c r="M68" s="388"/>
      <c r="N68" s="389"/>
      <c r="O68" s="397">
        <f t="shared" si="7"/>
        <v>0</v>
      </c>
      <c r="P68" s="392">
        <f t="shared" si="17"/>
        <v>479</v>
      </c>
      <c r="Q68" s="389">
        <f t="shared" si="17"/>
        <v>0</v>
      </c>
      <c r="R68" s="398">
        <f t="shared" si="8"/>
        <v>479</v>
      </c>
      <c r="S68" s="395">
        <v>479</v>
      </c>
      <c r="T68" s="396">
        <v>0</v>
      </c>
      <c r="U68" s="397">
        <f t="shared" si="9"/>
        <v>479</v>
      </c>
      <c r="V68" s="388">
        <f t="shared" ref="V68:W76" si="18">+D68+M68</f>
        <v>0</v>
      </c>
      <c r="W68" s="389">
        <f t="shared" si="18"/>
        <v>0</v>
      </c>
      <c r="X68" s="397">
        <f t="shared" si="10"/>
        <v>0</v>
      </c>
      <c r="Y68" s="392">
        <f t="shared" ref="Y68:Z76" si="19">+G68+P68</f>
        <v>479</v>
      </c>
      <c r="Z68" s="389">
        <f t="shared" si="19"/>
        <v>0</v>
      </c>
      <c r="AA68" s="398">
        <f t="shared" si="11"/>
        <v>479</v>
      </c>
      <c r="AB68" s="395">
        <f t="shared" si="16"/>
        <v>479</v>
      </c>
      <c r="AC68" s="396">
        <f t="shared" si="16"/>
        <v>0</v>
      </c>
      <c r="AD68" s="397">
        <f t="shared" si="13"/>
        <v>479</v>
      </c>
      <c r="AE68" s="392">
        <v>377</v>
      </c>
      <c r="AF68" s="389">
        <v>102</v>
      </c>
      <c r="AG68" s="397">
        <v>479</v>
      </c>
    </row>
    <row r="69" spans="1:33" ht="33.75" x14ac:dyDescent="0.2">
      <c r="A69" s="201" t="s">
        <v>1788</v>
      </c>
      <c r="B69" s="202" t="s">
        <v>1716</v>
      </c>
      <c r="C69" s="281" t="s">
        <v>1738</v>
      </c>
      <c r="D69" s="375"/>
      <c r="E69" s="376"/>
      <c r="F69" s="377">
        <f>+E69+D69</f>
        <v>0</v>
      </c>
      <c r="G69" s="375"/>
      <c r="H69" s="376"/>
      <c r="I69" s="378">
        <f>+H69+G69</f>
        <v>0</v>
      </c>
      <c r="J69" s="375"/>
      <c r="K69" s="376"/>
      <c r="L69" s="377">
        <f>+K69+J69</f>
        <v>0</v>
      </c>
      <c r="M69" s="375">
        <v>127</v>
      </c>
      <c r="N69" s="376"/>
      <c r="O69" s="377">
        <f t="shared" ref="O69:O74" si="20">+N69+M69</f>
        <v>127</v>
      </c>
      <c r="P69" s="379">
        <f>+S69+M69</f>
        <v>791</v>
      </c>
      <c r="Q69" s="376">
        <f>+T69+N69</f>
        <v>179</v>
      </c>
      <c r="R69" s="378">
        <f t="shared" ref="R69:R74" si="21">+Q69+P69</f>
        <v>970</v>
      </c>
      <c r="S69" s="375">
        <v>664</v>
      </c>
      <c r="T69" s="376">
        <v>179</v>
      </c>
      <c r="U69" s="377">
        <f t="shared" si="9"/>
        <v>843</v>
      </c>
      <c r="V69" s="375">
        <f t="shared" si="18"/>
        <v>127</v>
      </c>
      <c r="W69" s="376">
        <f t="shared" si="18"/>
        <v>0</v>
      </c>
      <c r="X69" s="377">
        <f t="shared" si="10"/>
        <v>127</v>
      </c>
      <c r="Y69" s="379">
        <f t="shared" si="19"/>
        <v>791</v>
      </c>
      <c r="Z69" s="376">
        <f t="shared" si="19"/>
        <v>179</v>
      </c>
      <c r="AA69" s="378">
        <f t="shared" si="11"/>
        <v>970</v>
      </c>
      <c r="AB69" s="375">
        <f t="shared" si="16"/>
        <v>918</v>
      </c>
      <c r="AC69" s="376">
        <f t="shared" si="16"/>
        <v>179</v>
      </c>
      <c r="AD69" s="377">
        <f t="shared" si="13"/>
        <v>1097</v>
      </c>
      <c r="AE69" s="379">
        <v>664</v>
      </c>
      <c r="AF69" s="376">
        <v>179</v>
      </c>
      <c r="AG69" s="377">
        <v>843</v>
      </c>
    </row>
    <row r="70" spans="1:33" ht="33.75" x14ac:dyDescent="0.2">
      <c r="A70" s="284" t="s">
        <v>1788</v>
      </c>
      <c r="B70" s="287" t="s">
        <v>1716</v>
      </c>
      <c r="C70" s="285" t="s">
        <v>1789</v>
      </c>
      <c r="D70" s="385"/>
      <c r="E70" s="386"/>
      <c r="F70" s="393">
        <f>+E70+D70</f>
        <v>0</v>
      </c>
      <c r="G70" s="385"/>
      <c r="H70" s="386"/>
      <c r="I70" s="394">
        <f>+H70+G70</f>
        <v>0</v>
      </c>
      <c r="J70" s="385"/>
      <c r="K70" s="386"/>
      <c r="L70" s="393">
        <f>+K70+J70</f>
        <v>0</v>
      </c>
      <c r="M70" s="380">
        <v>64</v>
      </c>
      <c r="N70" s="381"/>
      <c r="O70" s="393">
        <f t="shared" si="20"/>
        <v>64</v>
      </c>
      <c r="P70" s="384">
        <f>+S70-M70</f>
        <v>-42</v>
      </c>
      <c r="Q70" s="381">
        <f>+T70-N70</f>
        <v>0</v>
      </c>
      <c r="R70" s="394">
        <f t="shared" si="21"/>
        <v>-42</v>
      </c>
      <c r="S70" s="385">
        <v>22</v>
      </c>
      <c r="T70" s="386">
        <v>0</v>
      </c>
      <c r="U70" s="393">
        <f t="shared" ref="U70:U71" si="22">+S70+T70</f>
        <v>22</v>
      </c>
      <c r="V70" s="380">
        <f t="shared" si="18"/>
        <v>64</v>
      </c>
      <c r="W70" s="381">
        <f t="shared" si="18"/>
        <v>0</v>
      </c>
      <c r="X70" s="393">
        <f t="shared" ref="X70:X76" si="23">+V70+W70</f>
        <v>64</v>
      </c>
      <c r="Y70" s="384">
        <f t="shared" si="19"/>
        <v>-42</v>
      </c>
      <c r="Z70" s="381">
        <f t="shared" si="19"/>
        <v>0</v>
      </c>
      <c r="AA70" s="394">
        <f t="shared" ref="AA70:AA76" si="24">+Y70+Z70</f>
        <v>-42</v>
      </c>
      <c r="AB70" s="385">
        <f t="shared" si="16"/>
        <v>22</v>
      </c>
      <c r="AC70" s="386">
        <f t="shared" si="16"/>
        <v>0</v>
      </c>
      <c r="AD70" s="393">
        <f t="shared" ref="AD70:AD76" si="25">+AB70+AC70</f>
        <v>22</v>
      </c>
      <c r="AE70" s="384">
        <v>0</v>
      </c>
      <c r="AF70" s="381">
        <v>0</v>
      </c>
      <c r="AG70" s="393">
        <v>0</v>
      </c>
    </row>
    <row r="71" spans="1:33" ht="34.5" thickBot="1" x14ac:dyDescent="0.25">
      <c r="A71" s="288" t="s">
        <v>1788</v>
      </c>
      <c r="B71" s="289" t="s">
        <v>1716</v>
      </c>
      <c r="C71" s="290" t="s">
        <v>1785</v>
      </c>
      <c r="D71" s="388"/>
      <c r="E71" s="389"/>
      <c r="F71" s="390">
        <f>+E71+D71</f>
        <v>0</v>
      </c>
      <c r="G71" s="388"/>
      <c r="H71" s="389"/>
      <c r="I71" s="391">
        <f>+H71+G71</f>
        <v>0</v>
      </c>
      <c r="J71" s="388"/>
      <c r="K71" s="389"/>
      <c r="L71" s="390">
        <f>+K71+J71</f>
        <v>0</v>
      </c>
      <c r="M71" s="388">
        <v>1016</v>
      </c>
      <c r="N71" s="389"/>
      <c r="O71" s="390">
        <f t="shared" si="20"/>
        <v>1016</v>
      </c>
      <c r="P71" s="392">
        <f>+S71-M71</f>
        <v>75</v>
      </c>
      <c r="Q71" s="389">
        <f>+T71-N71</f>
        <v>209</v>
      </c>
      <c r="R71" s="391">
        <f t="shared" si="21"/>
        <v>284</v>
      </c>
      <c r="S71" s="388">
        <v>1091</v>
      </c>
      <c r="T71" s="389">
        <v>209</v>
      </c>
      <c r="U71" s="390">
        <f t="shared" si="22"/>
        <v>1300</v>
      </c>
      <c r="V71" s="388">
        <f t="shared" si="18"/>
        <v>1016</v>
      </c>
      <c r="W71" s="389">
        <f t="shared" si="18"/>
        <v>0</v>
      </c>
      <c r="X71" s="390">
        <f t="shared" si="23"/>
        <v>1016</v>
      </c>
      <c r="Y71" s="392">
        <f t="shared" si="19"/>
        <v>75</v>
      </c>
      <c r="Z71" s="389">
        <f t="shared" si="19"/>
        <v>209</v>
      </c>
      <c r="AA71" s="391">
        <f t="shared" si="24"/>
        <v>284</v>
      </c>
      <c r="AB71" s="388">
        <f t="shared" si="16"/>
        <v>1091</v>
      </c>
      <c r="AC71" s="389">
        <f t="shared" si="16"/>
        <v>209</v>
      </c>
      <c r="AD71" s="390">
        <f t="shared" si="25"/>
        <v>1300</v>
      </c>
      <c r="AE71" s="392">
        <v>1091</v>
      </c>
      <c r="AF71" s="389">
        <v>209</v>
      </c>
      <c r="AG71" s="390">
        <v>1300</v>
      </c>
    </row>
    <row r="72" spans="1:33" ht="33.75" x14ac:dyDescent="0.2">
      <c r="A72" s="201" t="s">
        <v>1790</v>
      </c>
      <c r="B72" s="202" t="s">
        <v>1791</v>
      </c>
      <c r="C72" s="281" t="s">
        <v>1738</v>
      </c>
      <c r="D72" s="375"/>
      <c r="E72" s="376"/>
      <c r="F72" s="377">
        <f>+E72+D72</f>
        <v>0</v>
      </c>
      <c r="G72" s="375"/>
      <c r="H72" s="376"/>
      <c r="I72" s="378">
        <f>+H72+G72</f>
        <v>0</v>
      </c>
      <c r="J72" s="375"/>
      <c r="K72" s="376"/>
      <c r="L72" s="377">
        <f>+K72+J72</f>
        <v>0</v>
      </c>
      <c r="M72" s="375">
        <v>64</v>
      </c>
      <c r="N72" s="376"/>
      <c r="O72" s="377">
        <f t="shared" si="20"/>
        <v>64</v>
      </c>
      <c r="P72" s="379">
        <f>+S72+M72</f>
        <v>67</v>
      </c>
      <c r="Q72" s="376">
        <f>+T72+N72</f>
        <v>0</v>
      </c>
      <c r="R72" s="378">
        <f t="shared" si="21"/>
        <v>67</v>
      </c>
      <c r="S72" s="375">
        <v>3</v>
      </c>
      <c r="T72" s="376">
        <v>0</v>
      </c>
      <c r="U72" s="377">
        <f>+S72+T72</f>
        <v>3</v>
      </c>
      <c r="V72" s="375">
        <f t="shared" si="18"/>
        <v>64</v>
      </c>
      <c r="W72" s="376">
        <f t="shared" si="18"/>
        <v>0</v>
      </c>
      <c r="X72" s="377">
        <f t="shared" si="23"/>
        <v>64</v>
      </c>
      <c r="Y72" s="379">
        <f t="shared" si="19"/>
        <v>67</v>
      </c>
      <c r="Z72" s="376">
        <f t="shared" si="19"/>
        <v>0</v>
      </c>
      <c r="AA72" s="378">
        <f t="shared" si="24"/>
        <v>67</v>
      </c>
      <c r="AB72" s="375">
        <f t="shared" si="16"/>
        <v>131</v>
      </c>
      <c r="AC72" s="376">
        <f t="shared" si="16"/>
        <v>0</v>
      </c>
      <c r="AD72" s="377">
        <f t="shared" si="25"/>
        <v>131</v>
      </c>
      <c r="AE72" s="379">
        <v>0</v>
      </c>
      <c r="AF72" s="376">
        <v>0</v>
      </c>
      <c r="AG72" s="377">
        <v>0</v>
      </c>
    </row>
    <row r="73" spans="1:33" ht="33.75" x14ac:dyDescent="0.2">
      <c r="A73" s="204" t="s">
        <v>1790</v>
      </c>
      <c r="B73" s="205" t="s">
        <v>1791</v>
      </c>
      <c r="C73" s="283" t="s">
        <v>1792</v>
      </c>
      <c r="D73" s="380"/>
      <c r="E73" s="381"/>
      <c r="F73" s="393"/>
      <c r="G73" s="380"/>
      <c r="H73" s="381"/>
      <c r="I73" s="394"/>
      <c r="J73" s="380"/>
      <c r="K73" s="381"/>
      <c r="L73" s="393"/>
      <c r="M73" s="380"/>
      <c r="N73" s="381"/>
      <c r="O73" s="393">
        <f t="shared" si="20"/>
        <v>0</v>
      </c>
      <c r="P73" s="384">
        <f>+S73-M73</f>
        <v>1786</v>
      </c>
      <c r="Q73" s="381">
        <f>+T73-N73</f>
        <v>85</v>
      </c>
      <c r="R73" s="394">
        <f t="shared" si="21"/>
        <v>1871</v>
      </c>
      <c r="S73" s="380">
        <v>1786</v>
      </c>
      <c r="T73" s="381">
        <v>85</v>
      </c>
      <c r="U73" s="393">
        <f>+S73+T73</f>
        <v>1871</v>
      </c>
      <c r="V73" s="380">
        <f t="shared" si="18"/>
        <v>0</v>
      </c>
      <c r="W73" s="381">
        <f t="shared" si="18"/>
        <v>0</v>
      </c>
      <c r="X73" s="393">
        <f t="shared" si="23"/>
        <v>0</v>
      </c>
      <c r="Y73" s="384">
        <f t="shared" si="19"/>
        <v>1786</v>
      </c>
      <c r="Z73" s="381">
        <f t="shared" si="19"/>
        <v>85</v>
      </c>
      <c r="AA73" s="394">
        <f t="shared" si="24"/>
        <v>1871</v>
      </c>
      <c r="AB73" s="380">
        <f t="shared" si="16"/>
        <v>1786</v>
      </c>
      <c r="AC73" s="381">
        <f t="shared" si="16"/>
        <v>85</v>
      </c>
      <c r="AD73" s="393">
        <f t="shared" si="25"/>
        <v>1871</v>
      </c>
      <c r="AE73" s="384">
        <v>1786</v>
      </c>
      <c r="AF73" s="381">
        <v>85</v>
      </c>
      <c r="AG73" s="393">
        <v>1871</v>
      </c>
    </row>
    <row r="74" spans="1:33" ht="34.5" thickBot="1" x14ac:dyDescent="0.25">
      <c r="A74" s="211" t="s">
        <v>1793</v>
      </c>
      <c r="B74" s="212" t="s">
        <v>1791</v>
      </c>
      <c r="C74" s="290" t="s">
        <v>1785</v>
      </c>
      <c r="D74" s="395"/>
      <c r="E74" s="396"/>
      <c r="F74" s="397">
        <f>+E74+D74</f>
        <v>0</v>
      </c>
      <c r="G74" s="395"/>
      <c r="H74" s="396"/>
      <c r="I74" s="398">
        <f>+H74+G74</f>
        <v>0</v>
      </c>
      <c r="J74" s="395"/>
      <c r="K74" s="396"/>
      <c r="L74" s="397">
        <f>+K74+J74</f>
        <v>0</v>
      </c>
      <c r="M74" s="388">
        <v>229</v>
      </c>
      <c r="N74" s="389"/>
      <c r="O74" s="397">
        <f t="shared" si="20"/>
        <v>229</v>
      </c>
      <c r="P74" s="392">
        <f>+S74-M74</f>
        <v>-90</v>
      </c>
      <c r="Q74" s="389">
        <f>+T74-N74</f>
        <v>38</v>
      </c>
      <c r="R74" s="398">
        <f t="shared" si="21"/>
        <v>-52</v>
      </c>
      <c r="S74" s="395">
        <v>139</v>
      </c>
      <c r="T74" s="396">
        <v>38</v>
      </c>
      <c r="U74" s="397">
        <f>+S74+T74</f>
        <v>177</v>
      </c>
      <c r="V74" s="388">
        <f t="shared" si="18"/>
        <v>229</v>
      </c>
      <c r="W74" s="389">
        <f t="shared" si="18"/>
        <v>0</v>
      </c>
      <c r="X74" s="397">
        <f t="shared" si="23"/>
        <v>229</v>
      </c>
      <c r="Y74" s="392">
        <f t="shared" si="19"/>
        <v>-90</v>
      </c>
      <c r="Z74" s="389">
        <f t="shared" si="19"/>
        <v>38</v>
      </c>
      <c r="AA74" s="398">
        <f t="shared" si="24"/>
        <v>-52</v>
      </c>
      <c r="AB74" s="395">
        <f t="shared" si="16"/>
        <v>139</v>
      </c>
      <c r="AC74" s="396">
        <f t="shared" si="16"/>
        <v>38</v>
      </c>
      <c r="AD74" s="397">
        <f t="shared" si="25"/>
        <v>177</v>
      </c>
      <c r="AE74" s="392">
        <v>139</v>
      </c>
      <c r="AF74" s="389">
        <v>38</v>
      </c>
      <c r="AG74" s="397">
        <v>177</v>
      </c>
    </row>
    <row r="75" spans="1:33" s="399" customFormat="1" ht="23.25" thickBot="1" x14ac:dyDescent="0.25">
      <c r="A75" s="291"/>
      <c r="B75" s="202" t="s">
        <v>328</v>
      </c>
      <c r="C75" s="281" t="s">
        <v>1794</v>
      </c>
      <c r="D75" s="375">
        <v>0</v>
      </c>
      <c r="E75" s="376"/>
      <c r="F75" s="377">
        <v>2011</v>
      </c>
      <c r="G75" s="375">
        <v>0</v>
      </c>
      <c r="H75" s="376"/>
      <c r="I75" s="378">
        <v>0</v>
      </c>
      <c r="J75" s="375">
        <v>0</v>
      </c>
      <c r="K75" s="376"/>
      <c r="L75" s="377">
        <v>4184</v>
      </c>
      <c r="M75" s="380">
        <v>0</v>
      </c>
      <c r="N75" s="381"/>
      <c r="O75" s="377">
        <v>0</v>
      </c>
      <c r="P75" s="384">
        <v>0</v>
      </c>
      <c r="Q75" s="381"/>
      <c r="R75" s="378">
        <v>0</v>
      </c>
      <c r="S75" s="375">
        <f t="shared" ref="S75:T75" si="26">+M75+P75</f>
        <v>0</v>
      </c>
      <c r="T75" s="376">
        <f t="shared" si="26"/>
        <v>0</v>
      </c>
      <c r="U75" s="377">
        <f>+S75+T75</f>
        <v>0</v>
      </c>
      <c r="V75" s="380">
        <f t="shared" si="18"/>
        <v>0</v>
      </c>
      <c r="W75" s="381">
        <f t="shared" si="18"/>
        <v>0</v>
      </c>
      <c r="X75" s="377">
        <f>SUM(F75,O75)</f>
        <v>2011</v>
      </c>
      <c r="Y75" s="384"/>
      <c r="Z75" s="381"/>
      <c r="AA75" s="378"/>
      <c r="AB75" s="375"/>
      <c r="AC75" s="376"/>
      <c r="AD75" s="377">
        <f>SUM(L75,U75)</f>
        <v>4184</v>
      </c>
      <c r="AE75" s="384"/>
      <c r="AF75" s="381"/>
      <c r="AG75" s="377">
        <v>4182</v>
      </c>
    </row>
    <row r="76" spans="1:33" s="399" customFormat="1" ht="29.25" customHeight="1" thickTop="1" thickBot="1" x14ac:dyDescent="0.25">
      <c r="A76" s="762" t="s">
        <v>1795</v>
      </c>
      <c r="B76" s="763"/>
      <c r="C76" s="763"/>
      <c r="D76" s="400">
        <f t="shared" ref="D76:U76" si="27">SUM(D4:D75)</f>
        <v>2938</v>
      </c>
      <c r="E76" s="401">
        <f t="shared" si="27"/>
        <v>0</v>
      </c>
      <c r="F76" s="402">
        <f t="shared" si="27"/>
        <v>4949</v>
      </c>
      <c r="G76" s="400">
        <f t="shared" si="27"/>
        <v>18181</v>
      </c>
      <c r="H76" s="401">
        <f t="shared" si="27"/>
        <v>5335</v>
      </c>
      <c r="I76" s="403">
        <f t="shared" si="27"/>
        <v>23516</v>
      </c>
      <c r="J76" s="400">
        <f t="shared" si="27"/>
        <v>21119</v>
      </c>
      <c r="K76" s="401">
        <f t="shared" si="27"/>
        <v>5335</v>
      </c>
      <c r="L76" s="402">
        <f t="shared" si="27"/>
        <v>30638</v>
      </c>
      <c r="M76" s="400">
        <f t="shared" si="27"/>
        <v>23711</v>
      </c>
      <c r="N76" s="401">
        <f t="shared" si="27"/>
        <v>0</v>
      </c>
      <c r="O76" s="402">
        <f t="shared" si="27"/>
        <v>23711</v>
      </c>
      <c r="P76" s="404">
        <f t="shared" si="27"/>
        <v>-4535</v>
      </c>
      <c r="Q76" s="401">
        <f t="shared" si="27"/>
        <v>3473</v>
      </c>
      <c r="R76" s="403">
        <f t="shared" si="27"/>
        <v>-1062</v>
      </c>
      <c r="S76" s="400">
        <f t="shared" si="27"/>
        <v>17994</v>
      </c>
      <c r="T76" s="401">
        <f t="shared" si="27"/>
        <v>3473</v>
      </c>
      <c r="U76" s="402">
        <f t="shared" si="27"/>
        <v>21467</v>
      </c>
      <c r="V76" s="400">
        <f t="shared" si="18"/>
        <v>26649</v>
      </c>
      <c r="W76" s="401">
        <f t="shared" si="18"/>
        <v>0</v>
      </c>
      <c r="X76" s="402">
        <f t="shared" si="23"/>
        <v>26649</v>
      </c>
      <c r="Y76" s="404">
        <f t="shared" si="19"/>
        <v>13646</v>
      </c>
      <c r="Z76" s="401">
        <f t="shared" si="19"/>
        <v>8808</v>
      </c>
      <c r="AA76" s="403">
        <f t="shared" si="24"/>
        <v>22454</v>
      </c>
      <c r="AB76" s="400">
        <f t="shared" si="16"/>
        <v>40295</v>
      </c>
      <c r="AC76" s="401">
        <f t="shared" si="16"/>
        <v>8808</v>
      </c>
      <c r="AD76" s="402">
        <f t="shared" si="25"/>
        <v>49103</v>
      </c>
      <c r="AE76" s="404">
        <v>35697</v>
      </c>
      <c r="AF76" s="401">
        <v>8650</v>
      </c>
      <c r="AG76" s="402">
        <v>44347</v>
      </c>
    </row>
    <row r="77" spans="1:33" s="399" customFormat="1" x14ac:dyDescent="0.2">
      <c r="A77" s="405"/>
      <c r="B77" s="406"/>
      <c r="C77" s="407"/>
      <c r="D77" s="408"/>
      <c r="E77" s="408"/>
      <c r="F77" s="408"/>
      <c r="G77" s="408"/>
      <c r="H77" s="408"/>
      <c r="I77" s="408"/>
      <c r="J77" s="408"/>
      <c r="K77" s="408"/>
      <c r="L77" s="408"/>
      <c r="M77" s="408"/>
      <c r="N77" s="408"/>
      <c r="O77" s="408"/>
      <c r="P77" s="408"/>
      <c r="Q77" s="408"/>
      <c r="R77" s="408"/>
      <c r="S77" s="408"/>
      <c r="T77" s="408"/>
      <c r="U77" s="408"/>
      <c r="V77" s="408"/>
      <c r="W77" s="408"/>
      <c r="X77" s="408"/>
      <c r="Y77" s="408"/>
      <c r="Z77" s="408"/>
      <c r="AA77" s="408"/>
      <c r="AB77" s="408"/>
      <c r="AC77" s="408"/>
      <c r="AD77" s="408"/>
      <c r="AE77" s="408"/>
      <c r="AF77" s="408"/>
      <c r="AG77" s="408"/>
    </row>
    <row r="78" spans="1:33" s="399" customFormat="1" x14ac:dyDescent="0.2">
      <c r="A78" s="405"/>
      <c r="B78" s="406"/>
      <c r="C78" s="407"/>
      <c r="D78" s="408"/>
      <c r="E78" s="408"/>
      <c r="F78" s="408"/>
      <c r="G78" s="408"/>
      <c r="H78" s="408"/>
      <c r="I78" s="408"/>
      <c r="J78" s="408"/>
      <c r="K78" s="408"/>
      <c r="L78" s="408"/>
      <c r="M78" s="408"/>
      <c r="N78" s="408"/>
      <c r="O78" s="408"/>
      <c r="P78" s="408"/>
      <c r="Q78" s="408"/>
      <c r="R78" s="408"/>
      <c r="S78" s="408"/>
      <c r="T78" s="408"/>
      <c r="U78" s="408"/>
      <c r="V78" s="408"/>
      <c r="W78" s="408"/>
      <c r="X78" s="408"/>
      <c r="Y78" s="408"/>
      <c r="Z78" s="408"/>
      <c r="AA78" s="408"/>
      <c r="AB78" s="408"/>
      <c r="AC78" s="408"/>
      <c r="AD78" s="408"/>
      <c r="AE78" s="408"/>
      <c r="AF78" s="408"/>
      <c r="AG78" s="408"/>
    </row>
    <row r="79" spans="1:33" s="399" customFormat="1" x14ac:dyDescent="0.2">
      <c r="A79" s="405"/>
      <c r="B79" s="406"/>
      <c r="C79" s="407"/>
      <c r="D79" s="408"/>
      <c r="E79" s="408"/>
      <c r="F79" s="408"/>
      <c r="G79" s="408"/>
      <c r="H79" s="408"/>
      <c r="I79" s="408"/>
      <c r="J79" s="408"/>
      <c r="K79" s="408"/>
      <c r="L79" s="408"/>
      <c r="M79" s="408"/>
      <c r="N79" s="408"/>
      <c r="O79" s="408"/>
      <c r="P79" s="408"/>
      <c r="Q79" s="408"/>
      <c r="R79" s="408"/>
      <c r="S79" s="408"/>
      <c r="T79" s="408"/>
      <c r="U79" s="408"/>
      <c r="V79" s="408"/>
      <c r="W79" s="408"/>
      <c r="X79" s="408"/>
      <c r="Y79" s="408"/>
      <c r="Z79" s="408"/>
      <c r="AA79" s="408"/>
      <c r="AB79" s="408"/>
      <c r="AC79" s="408"/>
      <c r="AD79" s="408"/>
      <c r="AE79" s="408"/>
      <c r="AF79" s="408"/>
      <c r="AG79" s="408"/>
    </row>
    <row r="80" spans="1:33" s="399" customFormat="1" x14ac:dyDescent="0.2">
      <c r="A80" s="405"/>
      <c r="B80" s="406"/>
      <c r="C80" s="407"/>
      <c r="D80" s="408"/>
      <c r="E80" s="408"/>
      <c r="F80" s="408"/>
      <c r="G80" s="408"/>
      <c r="H80" s="408"/>
      <c r="I80" s="408"/>
      <c r="J80" s="408"/>
      <c r="K80" s="408"/>
      <c r="L80" s="408"/>
      <c r="M80" s="408"/>
      <c r="N80" s="408"/>
      <c r="O80" s="408"/>
      <c r="P80" s="408"/>
      <c r="Q80" s="408"/>
      <c r="R80" s="408"/>
      <c r="S80" s="408"/>
      <c r="T80" s="408"/>
      <c r="U80" s="408"/>
      <c r="V80" s="408"/>
      <c r="W80" s="408"/>
      <c r="X80" s="408"/>
      <c r="Y80" s="408"/>
      <c r="Z80" s="408"/>
      <c r="AA80" s="408"/>
      <c r="AB80" s="408"/>
      <c r="AC80" s="408"/>
      <c r="AD80" s="408"/>
      <c r="AE80" s="408"/>
      <c r="AF80" s="408"/>
      <c r="AG80" s="408"/>
    </row>
    <row r="87" spans="1:30" x14ac:dyDescent="0.2">
      <c r="AD87" s="587" t="s">
        <v>394</v>
      </c>
    </row>
    <row r="88" spans="1:30" x14ac:dyDescent="0.2">
      <c r="AD88" s="587" t="s">
        <v>1797</v>
      </c>
    </row>
    <row r="89" spans="1:30" ht="51" x14ac:dyDescent="0.2">
      <c r="A89" s="764" t="s">
        <v>1798</v>
      </c>
      <c r="B89" s="765"/>
      <c r="C89" s="766"/>
      <c r="F89" s="410" t="s">
        <v>557</v>
      </c>
      <c r="L89" s="410" t="s">
        <v>1304</v>
      </c>
      <c r="N89" s="411"/>
      <c r="O89" s="412" t="s">
        <v>557</v>
      </c>
      <c r="T89" s="413"/>
      <c r="U89" s="412" t="s">
        <v>1304</v>
      </c>
      <c r="W89" s="413"/>
      <c r="X89" s="414" t="s">
        <v>1799</v>
      </c>
      <c r="AD89" s="414" t="s">
        <v>1311</v>
      </c>
    </row>
    <row r="90" spans="1:30" ht="24" x14ac:dyDescent="0.2">
      <c r="A90" s="767"/>
      <c r="B90" s="768"/>
      <c r="C90" s="769"/>
      <c r="F90" s="415" t="s">
        <v>405</v>
      </c>
      <c r="L90" s="415" t="s">
        <v>405</v>
      </c>
      <c r="N90" s="411"/>
      <c r="O90" s="416" t="s">
        <v>429</v>
      </c>
      <c r="T90" s="413"/>
      <c r="U90" s="416" t="s">
        <v>429</v>
      </c>
      <c r="W90" s="413"/>
      <c r="X90" s="417" t="s">
        <v>1695</v>
      </c>
      <c r="AD90" s="417" t="s">
        <v>1695</v>
      </c>
    </row>
    <row r="91" spans="1:30" ht="18.75" customHeight="1" x14ac:dyDescent="0.2">
      <c r="A91" s="753" t="s">
        <v>1800</v>
      </c>
      <c r="B91" s="754"/>
      <c r="C91" s="755"/>
      <c r="F91" s="418">
        <f>SUM('12.1 -12.2 melléklet önk.,ph'!BI453)</f>
        <v>1742198</v>
      </c>
      <c r="L91" s="418">
        <f>SUM('12.1 -12.2 melléklet önk.,ph'!BQ453)</f>
        <v>2213738</v>
      </c>
      <c r="N91" s="411"/>
      <c r="O91" s="418">
        <f>SUM('12.1 -12.2 melléklet önk.,ph'!BR453)</f>
        <v>1591098</v>
      </c>
      <c r="T91" s="413"/>
      <c r="U91" s="418">
        <f>SUM('12.1 -12.2 melléklet önk.,ph'!BZ453)</f>
        <v>1599109</v>
      </c>
      <c r="W91" s="413"/>
      <c r="X91" s="418">
        <f>SUM(L91,U91)</f>
        <v>3812847</v>
      </c>
      <c r="AD91" s="418">
        <f>SUM('12.1 -12.2 melléklet önk.,ph'!CD453)</f>
        <v>3637416</v>
      </c>
    </row>
    <row r="92" spans="1:30" ht="18.75" customHeight="1" x14ac:dyDescent="0.2">
      <c r="A92" s="753" t="s">
        <v>322</v>
      </c>
      <c r="B92" s="754"/>
      <c r="C92" s="755"/>
      <c r="F92" s="418">
        <f>SUM('12.1 -12.2 melléklet önk.,ph'!BI468)</f>
        <v>0</v>
      </c>
      <c r="L92" s="418">
        <f>SUM('12.1 -12.2 melléklet önk.,ph'!BQ468)</f>
        <v>0</v>
      </c>
      <c r="N92" s="411"/>
      <c r="O92" s="418">
        <f>SUM('12.1 -12.2 melléklet önk.,ph'!BR468)</f>
        <v>0</v>
      </c>
      <c r="T92" s="413"/>
      <c r="U92" s="418">
        <f>SUM('12.1 -12.2 melléklet önk.,ph'!BZ468)</f>
        <v>959</v>
      </c>
      <c r="W92" s="413"/>
      <c r="X92" s="418">
        <f>SUM(L92,U92)</f>
        <v>959</v>
      </c>
      <c r="AD92" s="418">
        <f>SUM('12.1 -12.2 melléklet önk.,ph'!CD468)</f>
        <v>958.77700000000004</v>
      </c>
    </row>
    <row r="93" spans="1:30" ht="18.75" customHeight="1" x14ac:dyDescent="0.2">
      <c r="A93" s="753" t="s">
        <v>396</v>
      </c>
      <c r="B93" s="754"/>
      <c r="C93" s="755"/>
      <c r="F93" s="418">
        <f>SUM(F4:F62)</f>
        <v>2938</v>
      </c>
      <c r="L93" s="418">
        <f>SUM(L4:L62)</f>
        <v>26454</v>
      </c>
      <c r="N93" s="411"/>
      <c r="O93" s="418">
        <f>SUM(O4:O62)</f>
        <v>19711</v>
      </c>
      <c r="T93" s="413"/>
      <c r="U93" s="418">
        <f>SUM(U4:U62)</f>
        <v>14451</v>
      </c>
      <c r="W93" s="413"/>
      <c r="X93" s="418">
        <f>SUM(L93,U93)</f>
        <v>40905</v>
      </c>
      <c r="AD93" s="418">
        <f>SUM(AG4:AG62)</f>
        <v>37356</v>
      </c>
    </row>
    <row r="94" spans="1:30" ht="18.75" customHeight="1" x14ac:dyDescent="0.2">
      <c r="A94" s="753" t="s">
        <v>324</v>
      </c>
      <c r="B94" s="754"/>
      <c r="C94" s="755"/>
      <c r="F94" s="418">
        <f>SUM(F63:F64)</f>
        <v>0</v>
      </c>
      <c r="L94" s="418">
        <f>SUM(L63:L64)</f>
        <v>0</v>
      </c>
      <c r="M94" s="418">
        <f t="shared" ref="M94:U94" si="28">SUM(M63:M64)</f>
        <v>2000</v>
      </c>
      <c r="N94" s="418">
        <f t="shared" si="28"/>
        <v>0</v>
      </c>
      <c r="O94" s="418">
        <f t="shared" si="28"/>
        <v>2000</v>
      </c>
      <c r="P94" s="418">
        <f t="shared" si="28"/>
        <v>-520</v>
      </c>
      <c r="Q94" s="418">
        <f t="shared" si="28"/>
        <v>0</v>
      </c>
      <c r="R94" s="418">
        <f t="shared" si="28"/>
        <v>-520</v>
      </c>
      <c r="S94" s="418">
        <f t="shared" si="28"/>
        <v>1480</v>
      </c>
      <c r="T94" s="418">
        <f t="shared" si="28"/>
        <v>0</v>
      </c>
      <c r="U94" s="418">
        <f t="shared" si="28"/>
        <v>1480</v>
      </c>
      <c r="W94" s="413"/>
      <c r="X94" s="418">
        <f t="shared" ref="X94:X98" si="29">SUM(L94,U94)</f>
        <v>1480</v>
      </c>
      <c r="AD94" s="418">
        <f>SUM(AG63:AG64)</f>
        <v>1480</v>
      </c>
    </row>
    <row r="95" spans="1:30" ht="18.75" customHeight="1" x14ac:dyDescent="0.2">
      <c r="A95" s="753" t="s">
        <v>1712</v>
      </c>
      <c r="B95" s="754"/>
      <c r="C95" s="755"/>
      <c r="F95" s="418">
        <f>SUM(F65:F68)</f>
        <v>0</v>
      </c>
      <c r="L95" s="418">
        <f>SUM(L65:L68)</f>
        <v>0</v>
      </c>
      <c r="M95" s="418">
        <f t="shared" ref="M95:U95" si="30">SUM(M65:M68)</f>
        <v>500</v>
      </c>
      <c r="N95" s="418">
        <f t="shared" si="30"/>
        <v>0</v>
      </c>
      <c r="O95" s="418">
        <f t="shared" si="30"/>
        <v>500</v>
      </c>
      <c r="P95" s="418">
        <f t="shared" si="30"/>
        <v>1620</v>
      </c>
      <c r="Q95" s="418">
        <f t="shared" si="30"/>
        <v>0</v>
      </c>
      <c r="R95" s="418">
        <f t="shared" si="30"/>
        <v>1620</v>
      </c>
      <c r="S95" s="418">
        <f t="shared" si="30"/>
        <v>1320</v>
      </c>
      <c r="T95" s="418">
        <f t="shared" si="30"/>
        <v>0</v>
      </c>
      <c r="U95" s="418">
        <f t="shared" si="30"/>
        <v>1320</v>
      </c>
      <c r="W95" s="413"/>
      <c r="X95" s="418">
        <f t="shared" si="29"/>
        <v>1320</v>
      </c>
      <c r="AD95" s="418">
        <f>SUM(AG65:AG68)</f>
        <v>1320</v>
      </c>
    </row>
    <row r="96" spans="1:30" ht="18.75" customHeight="1" x14ac:dyDescent="0.2">
      <c r="A96" s="753" t="s">
        <v>1716</v>
      </c>
      <c r="B96" s="754"/>
      <c r="C96" s="755"/>
      <c r="F96" s="418">
        <f>SUM(F69:F71)</f>
        <v>0</v>
      </c>
      <c r="L96" s="418">
        <f>SUM(L69:L71)</f>
        <v>0</v>
      </c>
      <c r="M96" s="418">
        <f t="shared" ref="M96:U96" si="31">SUM(M69:M71)</f>
        <v>1207</v>
      </c>
      <c r="N96" s="418">
        <f t="shared" si="31"/>
        <v>0</v>
      </c>
      <c r="O96" s="418">
        <f t="shared" si="31"/>
        <v>1207</v>
      </c>
      <c r="P96" s="418">
        <f t="shared" si="31"/>
        <v>824</v>
      </c>
      <c r="Q96" s="418">
        <f t="shared" si="31"/>
        <v>388</v>
      </c>
      <c r="R96" s="418">
        <f t="shared" si="31"/>
        <v>1212</v>
      </c>
      <c r="S96" s="418">
        <f t="shared" si="31"/>
        <v>1777</v>
      </c>
      <c r="T96" s="418">
        <f t="shared" si="31"/>
        <v>388</v>
      </c>
      <c r="U96" s="418">
        <f t="shared" si="31"/>
        <v>2165</v>
      </c>
      <c r="W96" s="413"/>
      <c r="X96" s="418">
        <f t="shared" si="29"/>
        <v>2165</v>
      </c>
      <c r="Y96" s="419"/>
      <c r="Z96" s="419"/>
      <c r="AD96" s="418">
        <f>SUM(AG69:AG71)</f>
        <v>2143</v>
      </c>
    </row>
    <row r="97" spans="1:30" ht="18.75" customHeight="1" x14ac:dyDescent="0.2">
      <c r="A97" s="753" t="s">
        <v>1791</v>
      </c>
      <c r="B97" s="754"/>
      <c r="C97" s="755"/>
      <c r="F97" s="420"/>
      <c r="L97" s="420">
        <f>SUM(L72:L74)</f>
        <v>0</v>
      </c>
      <c r="M97" s="420">
        <f t="shared" ref="M97:U97" si="32">SUM(M72:M74)</f>
        <v>293</v>
      </c>
      <c r="N97" s="420">
        <f t="shared" si="32"/>
        <v>0</v>
      </c>
      <c r="O97" s="420">
        <f t="shared" si="32"/>
        <v>293</v>
      </c>
      <c r="P97" s="420">
        <f t="shared" si="32"/>
        <v>1763</v>
      </c>
      <c r="Q97" s="420">
        <f t="shared" si="32"/>
        <v>123</v>
      </c>
      <c r="R97" s="420">
        <f t="shared" si="32"/>
        <v>1886</v>
      </c>
      <c r="S97" s="420">
        <f t="shared" si="32"/>
        <v>1928</v>
      </c>
      <c r="T97" s="420">
        <f t="shared" si="32"/>
        <v>123</v>
      </c>
      <c r="U97" s="420">
        <f t="shared" si="32"/>
        <v>2051</v>
      </c>
      <c r="W97" s="413"/>
      <c r="X97" s="418">
        <f t="shared" si="29"/>
        <v>2051</v>
      </c>
      <c r="Y97" s="419"/>
      <c r="Z97" s="419"/>
      <c r="AD97" s="420">
        <f>SUM(AG72:AG74)</f>
        <v>2048</v>
      </c>
    </row>
    <row r="98" spans="1:30" ht="18.75" customHeight="1" thickBot="1" x14ac:dyDescent="0.25">
      <c r="A98" s="756" t="s">
        <v>328</v>
      </c>
      <c r="B98" s="757"/>
      <c r="C98" s="758"/>
      <c r="F98" s="420">
        <f>SUM(F75:F75)</f>
        <v>2011</v>
      </c>
      <c r="L98" s="420">
        <f t="shared" ref="L98:U98" si="33">SUM(L75:L75)</f>
        <v>4184</v>
      </c>
      <c r="M98" s="420">
        <f t="shared" si="33"/>
        <v>0</v>
      </c>
      <c r="N98" s="420">
        <f t="shared" si="33"/>
        <v>0</v>
      </c>
      <c r="O98" s="420">
        <f t="shared" si="33"/>
        <v>0</v>
      </c>
      <c r="P98" s="420">
        <f t="shared" si="33"/>
        <v>0</v>
      </c>
      <c r="Q98" s="420">
        <f t="shared" si="33"/>
        <v>0</v>
      </c>
      <c r="R98" s="420">
        <f t="shared" si="33"/>
        <v>0</v>
      </c>
      <c r="S98" s="420">
        <f t="shared" si="33"/>
        <v>0</v>
      </c>
      <c r="T98" s="420">
        <f t="shared" si="33"/>
        <v>0</v>
      </c>
      <c r="U98" s="420">
        <f t="shared" si="33"/>
        <v>0</v>
      </c>
      <c r="W98" s="413"/>
      <c r="X98" s="418">
        <f t="shared" si="29"/>
        <v>4184</v>
      </c>
      <c r="Y98" s="419"/>
      <c r="Z98" s="419"/>
      <c r="AD98" s="420">
        <f>SUM(AG75:AG75)</f>
        <v>4182</v>
      </c>
    </row>
    <row r="99" spans="1:30" ht="18.75" customHeight="1" thickBot="1" x14ac:dyDescent="0.25">
      <c r="A99" s="759" t="s">
        <v>1801</v>
      </c>
      <c r="B99" s="760"/>
      <c r="C99" s="761"/>
      <c r="F99" s="421">
        <f>SUM(F91:F98)</f>
        <v>1747147</v>
      </c>
      <c r="L99" s="421">
        <f>SUM(L91:L98)</f>
        <v>2244376</v>
      </c>
      <c r="N99" s="411"/>
      <c r="O99" s="421">
        <f>SUM(O91:O98)</f>
        <v>1614809</v>
      </c>
      <c r="T99" s="413"/>
      <c r="U99" s="421">
        <f>SUM(U91:U98)</f>
        <v>1621535</v>
      </c>
      <c r="W99" s="413"/>
      <c r="X99" s="421">
        <f>SUM(X91:X98)</f>
        <v>3865911</v>
      </c>
      <c r="Y99" s="419"/>
      <c r="Z99" s="419"/>
      <c r="AD99" s="421">
        <f>SUM(AD91:AD98)</f>
        <v>3686903.7769999998</v>
      </c>
    </row>
  </sheetData>
  <mergeCells count="34">
    <mergeCell ref="AE2:AG2"/>
    <mergeCell ref="A76:C76"/>
    <mergeCell ref="A89:C90"/>
    <mergeCell ref="A91:C91"/>
    <mergeCell ref="A92:C92"/>
    <mergeCell ref="A1:A3"/>
    <mergeCell ref="B1:B3"/>
    <mergeCell ref="C1:C3"/>
    <mergeCell ref="D1:F1"/>
    <mergeCell ref="G1:I1"/>
    <mergeCell ref="J1:L1"/>
    <mergeCell ref="S1:U1"/>
    <mergeCell ref="V1:X1"/>
    <mergeCell ref="Y1:AA1"/>
    <mergeCell ref="AB1:AD1"/>
    <mergeCell ref="AE1:AG1"/>
    <mergeCell ref="A97:C97"/>
    <mergeCell ref="A98:C98"/>
    <mergeCell ref="A99:C99"/>
    <mergeCell ref="A93:C93"/>
    <mergeCell ref="A94:C94"/>
    <mergeCell ref="A95:C95"/>
    <mergeCell ref="A96:C96"/>
    <mergeCell ref="D2:F2"/>
    <mergeCell ref="G2:I2"/>
    <mergeCell ref="J2:L2"/>
    <mergeCell ref="M2:O2"/>
    <mergeCell ref="P2:R2"/>
    <mergeCell ref="S2:U2"/>
    <mergeCell ref="V2:X2"/>
    <mergeCell ref="Y2:AA2"/>
    <mergeCell ref="AB2:AD2"/>
    <mergeCell ref="M1:O1"/>
    <mergeCell ref="P1:R1"/>
  </mergeCells>
  <printOptions horizontalCentered="1"/>
  <pageMargins left="0.23622047244094491" right="0.23622047244094491" top="0.47244094488188981" bottom="0.35433070866141736" header="0.15748031496062992" footer="0.19685039370078741"/>
  <pageSetup paperSize="9" scale="45" orientation="portrait" r:id="rId1"/>
  <headerFooter>
    <oddHeader>&amp;LVeresegyház Város Önkormányzat&amp;C&amp;"Arial CE,Félkövér"BERUHÁZÁSOK ELŐIRÁNYZAT MÓDOSÍTÁS2014.12.31.&amp;R12.3. melléklet
adatok ezer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F46"/>
  <sheetViews>
    <sheetView zoomScaleSheetLayoutView="100" zoomScalePageLayoutView="85" workbookViewId="0">
      <selection activeCell="BH25" sqref="BH25"/>
    </sheetView>
  </sheetViews>
  <sheetFormatPr defaultRowHeight="11.25" outlineLevelCol="2" x14ac:dyDescent="0.2"/>
  <cols>
    <col min="1" max="1" width="14.28515625" style="466" customWidth="1"/>
    <col min="2" max="2" width="10.42578125" style="461" hidden="1" customWidth="1" outlineLevel="1"/>
    <col min="3" max="3" width="8.7109375" style="467" customWidth="1" collapsed="1"/>
    <col min="4" max="4" width="10.42578125" style="422" customWidth="1" outlineLevel="1"/>
    <col min="5" max="5" width="14.5703125" style="468" customWidth="1"/>
    <col min="6" max="6" width="55.5703125" style="423" customWidth="1"/>
    <col min="7" max="7" width="13.42578125" style="422" hidden="1" customWidth="1" outlineLevel="1"/>
    <col min="8" max="8" width="15.5703125" style="422" hidden="1" customWidth="1" outlineLevel="1"/>
    <col min="9" max="9" width="8" style="422" customWidth="1" collapsed="1"/>
    <col min="10" max="10" width="6.5703125" style="422" hidden="1" customWidth="1" outlineLevel="2"/>
    <col min="11" max="11" width="5.7109375" style="422" hidden="1" customWidth="1" outlineLevel="2"/>
    <col min="12" max="12" width="10" style="422" hidden="1" customWidth="1" outlineLevel="2"/>
    <col min="13" max="13" width="6.5703125" style="422" hidden="1" customWidth="1" outlineLevel="2" collapsed="1"/>
    <col min="14" max="14" width="7.85546875" style="422" hidden="1" customWidth="1" outlineLevel="2"/>
    <col min="15" max="15" width="10" style="422" hidden="1" customWidth="1" outlineLevel="1"/>
    <col min="16" max="17" width="7.42578125" style="422" hidden="1" customWidth="1" outlineLevel="2"/>
    <col min="18" max="18" width="7.42578125" style="422" hidden="1" customWidth="1" outlineLevel="1"/>
    <col min="19" max="20" width="7.42578125" style="422" hidden="1" customWidth="1" outlineLevel="2"/>
    <col min="21" max="21" width="9.5703125" style="422" hidden="1" customWidth="1" outlineLevel="1"/>
    <col min="22" max="23" width="9.5703125" style="422" hidden="1" customWidth="1" outlineLevel="2"/>
    <col min="24" max="26" width="9.5703125" style="422" hidden="1" customWidth="1" outlineLevel="1"/>
    <col min="27" max="27" width="9.5703125" style="422" customWidth="1" collapsed="1"/>
    <col min="28" max="29" width="9.5703125" style="422" hidden="1" customWidth="1" outlineLevel="2"/>
    <col min="30" max="30" width="9.5703125" style="422" hidden="1" customWidth="1" outlineLevel="1"/>
    <col min="31" max="32" width="9.5703125" style="422" hidden="1" customWidth="1" outlineLevel="2"/>
    <col min="33" max="33" width="9" style="422" customWidth="1" collapsed="1"/>
    <col min="34" max="34" width="10.7109375" style="422" hidden="1" customWidth="1" outlineLevel="1" collapsed="1"/>
    <col min="35" max="35" width="11.42578125" style="422" hidden="1" customWidth="1" outlineLevel="1"/>
    <col min="36" max="36" width="8.85546875" style="422" customWidth="1" collapsed="1"/>
    <col min="37" max="37" width="6.28515625" style="422" hidden="1" customWidth="1" outlineLevel="1"/>
    <col min="38" max="38" width="5.42578125" style="422" hidden="1" customWidth="1" outlineLevel="1"/>
    <col min="39" max="39" width="8.5703125" style="422" hidden="1" customWidth="1" outlineLevel="1"/>
    <col min="40" max="40" width="6.7109375" style="422" hidden="1" customWidth="1" outlineLevel="1"/>
    <col min="41" max="41" width="7.140625" style="422" hidden="1" customWidth="1" outlineLevel="1"/>
    <col min="42" max="42" width="11.140625" style="422" hidden="1" customWidth="1" outlineLevel="1"/>
    <col min="43" max="47" width="7.42578125" style="422" hidden="1" customWidth="1" outlineLevel="1"/>
    <col min="48" max="53" width="11.28515625" style="422" hidden="1" customWidth="1" outlineLevel="1"/>
    <col min="54" max="54" width="9.85546875" style="422" customWidth="1" collapsed="1"/>
    <col min="55" max="57" width="11.28515625" style="422" hidden="1" customWidth="1" outlineLevel="1"/>
    <col min="58" max="59" width="11.28515625" style="422" hidden="1" customWidth="1" outlineLevel="2"/>
    <col min="60" max="60" width="9.28515625" style="422" customWidth="1" collapsed="1"/>
    <col min="61" max="61" width="9.85546875" style="465" customWidth="1" collapsed="1"/>
    <col min="62" max="62" width="10.140625" style="465" hidden="1" customWidth="1" outlineLevel="1"/>
    <col min="63" max="63" width="13.85546875" style="465" hidden="1" customWidth="1" outlineLevel="1"/>
    <col min="64" max="66" width="11.5703125" style="465" hidden="1" customWidth="1" outlineLevel="1"/>
    <col min="67" max="67" width="9.7109375" style="465" customWidth="1" collapsed="1"/>
    <col min="68" max="68" width="11.5703125" style="465" hidden="1" customWidth="1" outlineLevel="1" collapsed="1"/>
    <col min="69" max="69" width="10.28515625" style="465" customWidth="1" collapsed="1"/>
    <col min="70" max="70" width="9.140625" style="465" customWidth="1"/>
    <col min="71" max="75" width="10.85546875" style="465" hidden="1" customWidth="1" outlineLevel="1"/>
    <col min="76" max="76" width="9.42578125" style="465" customWidth="1" collapsed="1"/>
    <col min="77" max="77" width="11.5703125" style="465" hidden="1" customWidth="1" outlineLevel="1"/>
    <col min="78" max="78" width="9.85546875" style="465" customWidth="1" collapsed="1"/>
    <col min="79" max="79" width="10.42578125" style="465" customWidth="1"/>
    <col min="80" max="80" width="22.5703125" style="465" hidden="1" customWidth="1" outlineLevel="1"/>
    <col min="81" max="81" width="9.42578125" style="465" customWidth="1" outlineLevel="1"/>
    <col min="82" max="82" width="9.5703125" style="465" customWidth="1"/>
    <col min="83" max="83" width="17" style="422" customWidth="1"/>
    <col min="84" max="84" width="12.85546875" style="422" bestFit="1" customWidth="1"/>
    <col min="85" max="85" width="11.85546875" style="422" bestFit="1" customWidth="1"/>
    <col min="86" max="86" width="12.85546875" style="422" bestFit="1" customWidth="1"/>
    <col min="87" max="87" width="11.42578125" style="422" customWidth="1"/>
    <col min="88" max="16384" width="9.140625" style="422"/>
  </cols>
  <sheetData>
    <row r="1" spans="1:110" s="423" customFormat="1" ht="57" customHeight="1" x14ac:dyDescent="0.2">
      <c r="A1" s="780" t="s">
        <v>1347</v>
      </c>
      <c r="B1" s="781" t="s">
        <v>595</v>
      </c>
      <c r="C1" s="782" t="s">
        <v>596</v>
      </c>
      <c r="D1" s="785" t="s">
        <v>597</v>
      </c>
      <c r="E1" s="782" t="s">
        <v>1634</v>
      </c>
      <c r="F1" s="779" t="s">
        <v>1635</v>
      </c>
      <c r="G1" s="779" t="s">
        <v>557</v>
      </c>
      <c r="H1" s="779"/>
      <c r="I1" s="779"/>
      <c r="J1" s="779" t="s">
        <v>599</v>
      </c>
      <c r="K1" s="779"/>
      <c r="L1" s="779"/>
      <c r="M1" s="779" t="s">
        <v>1350</v>
      </c>
      <c r="N1" s="779"/>
      <c r="O1" s="779"/>
      <c r="P1" s="779" t="s">
        <v>599</v>
      </c>
      <c r="Q1" s="779"/>
      <c r="R1" s="779"/>
      <c r="S1" s="779" t="s">
        <v>1141</v>
      </c>
      <c r="T1" s="779"/>
      <c r="U1" s="779"/>
      <c r="V1" s="779" t="s">
        <v>599</v>
      </c>
      <c r="W1" s="779"/>
      <c r="X1" s="779"/>
      <c r="Y1" s="779" t="s">
        <v>1121</v>
      </c>
      <c r="Z1" s="779"/>
      <c r="AA1" s="779"/>
      <c r="AB1" s="779" t="s">
        <v>599</v>
      </c>
      <c r="AC1" s="779"/>
      <c r="AD1" s="779"/>
      <c r="AE1" s="779" t="s">
        <v>1304</v>
      </c>
      <c r="AF1" s="779"/>
      <c r="AG1" s="779"/>
      <c r="AH1" s="779" t="s">
        <v>557</v>
      </c>
      <c r="AI1" s="779"/>
      <c r="AJ1" s="779"/>
      <c r="AK1" s="779" t="s">
        <v>428</v>
      </c>
      <c r="AL1" s="779"/>
      <c r="AM1" s="779"/>
      <c r="AN1" s="779" t="s">
        <v>1350</v>
      </c>
      <c r="AO1" s="779"/>
      <c r="AP1" s="779"/>
      <c r="AQ1" s="779" t="s">
        <v>428</v>
      </c>
      <c r="AR1" s="779"/>
      <c r="AS1" s="779"/>
      <c r="AT1" s="779" t="s">
        <v>1141</v>
      </c>
      <c r="AU1" s="779"/>
      <c r="AV1" s="779"/>
      <c r="AW1" s="779" t="s">
        <v>428</v>
      </c>
      <c r="AX1" s="779"/>
      <c r="AY1" s="779"/>
      <c r="AZ1" s="779" t="s">
        <v>1121</v>
      </c>
      <c r="BA1" s="779"/>
      <c r="BB1" s="779"/>
      <c r="BC1" s="779" t="s">
        <v>599</v>
      </c>
      <c r="BD1" s="779"/>
      <c r="BE1" s="779"/>
      <c r="BF1" s="779" t="s">
        <v>1304</v>
      </c>
      <c r="BG1" s="779"/>
      <c r="BH1" s="779"/>
      <c r="BI1" s="779" t="s">
        <v>600</v>
      </c>
      <c r="BJ1" s="779" t="s">
        <v>601</v>
      </c>
      <c r="BK1" s="779" t="s">
        <v>1636</v>
      </c>
      <c r="BL1" s="779" t="s">
        <v>601</v>
      </c>
      <c r="BM1" s="779" t="s">
        <v>1290</v>
      </c>
      <c r="BN1" s="779" t="s">
        <v>601</v>
      </c>
      <c r="BO1" s="779" t="s">
        <v>1729</v>
      </c>
      <c r="BP1" s="779" t="s">
        <v>601</v>
      </c>
      <c r="BQ1" s="779" t="s">
        <v>1283</v>
      </c>
      <c r="BR1" s="779" t="s">
        <v>1075</v>
      </c>
      <c r="BS1" s="779" t="s">
        <v>601</v>
      </c>
      <c r="BT1" s="779" t="s">
        <v>1637</v>
      </c>
      <c r="BU1" s="779" t="s">
        <v>601</v>
      </c>
      <c r="BV1" s="779" t="s">
        <v>1291</v>
      </c>
      <c r="BW1" s="779" t="s">
        <v>601</v>
      </c>
      <c r="BX1" s="779" t="s">
        <v>1292</v>
      </c>
      <c r="BY1" s="779" t="s">
        <v>601</v>
      </c>
      <c r="BZ1" s="779" t="s">
        <v>1638</v>
      </c>
      <c r="CA1" s="779" t="s">
        <v>404</v>
      </c>
      <c r="CB1" s="779" t="s">
        <v>1356</v>
      </c>
      <c r="CC1" s="786" t="s">
        <v>1722</v>
      </c>
      <c r="CD1" s="786" t="s">
        <v>1358</v>
      </c>
      <c r="CE1" s="422"/>
      <c r="CF1" s="422"/>
      <c r="CG1" s="422"/>
      <c r="CH1" s="422"/>
      <c r="CI1" s="422"/>
      <c r="CJ1" s="422"/>
      <c r="CK1" s="422"/>
      <c r="CL1" s="422"/>
      <c r="CM1" s="422"/>
      <c r="CN1" s="422"/>
      <c r="CO1" s="422"/>
      <c r="CP1" s="422"/>
      <c r="CQ1" s="422"/>
      <c r="CR1" s="422"/>
      <c r="CS1" s="422"/>
      <c r="CT1" s="422"/>
      <c r="CU1" s="422"/>
      <c r="CV1" s="422"/>
      <c r="CW1" s="422"/>
      <c r="CX1" s="422"/>
      <c r="CY1" s="422"/>
      <c r="CZ1" s="422"/>
      <c r="DA1" s="422"/>
      <c r="DB1" s="422"/>
      <c r="DC1" s="422"/>
      <c r="DD1" s="422"/>
      <c r="DE1" s="422"/>
      <c r="DF1" s="422"/>
    </row>
    <row r="2" spans="1:110" s="423" customFormat="1" ht="22.5" customHeight="1" x14ac:dyDescent="0.2">
      <c r="A2" s="780"/>
      <c r="B2" s="781"/>
      <c r="C2" s="783"/>
      <c r="D2" s="785"/>
      <c r="E2" s="783"/>
      <c r="F2" s="779"/>
      <c r="G2" s="779" t="s">
        <v>405</v>
      </c>
      <c r="H2" s="779"/>
      <c r="I2" s="779"/>
      <c r="J2" s="779" t="s">
        <v>405</v>
      </c>
      <c r="K2" s="779"/>
      <c r="L2" s="779"/>
      <c r="M2" s="779" t="s">
        <v>405</v>
      </c>
      <c r="N2" s="779"/>
      <c r="O2" s="779"/>
      <c r="P2" s="779" t="s">
        <v>405</v>
      </c>
      <c r="Q2" s="779"/>
      <c r="R2" s="779"/>
      <c r="S2" s="779" t="s">
        <v>405</v>
      </c>
      <c r="T2" s="779"/>
      <c r="U2" s="779"/>
      <c r="V2" s="779" t="s">
        <v>405</v>
      </c>
      <c r="W2" s="779"/>
      <c r="X2" s="779"/>
      <c r="Y2" s="779" t="s">
        <v>405</v>
      </c>
      <c r="Z2" s="779"/>
      <c r="AA2" s="779"/>
      <c r="AB2" s="779" t="s">
        <v>405</v>
      </c>
      <c r="AC2" s="779"/>
      <c r="AD2" s="779"/>
      <c r="AE2" s="779" t="s">
        <v>405</v>
      </c>
      <c r="AF2" s="779"/>
      <c r="AG2" s="779"/>
      <c r="AH2" s="779" t="s">
        <v>429</v>
      </c>
      <c r="AI2" s="779"/>
      <c r="AJ2" s="779"/>
      <c r="AK2" s="779" t="s">
        <v>429</v>
      </c>
      <c r="AL2" s="779"/>
      <c r="AM2" s="779"/>
      <c r="AN2" s="779" t="s">
        <v>429</v>
      </c>
      <c r="AO2" s="779"/>
      <c r="AP2" s="779"/>
      <c r="AQ2" s="779" t="s">
        <v>429</v>
      </c>
      <c r="AR2" s="779"/>
      <c r="AS2" s="779"/>
      <c r="AT2" s="779" t="s">
        <v>429</v>
      </c>
      <c r="AU2" s="779"/>
      <c r="AV2" s="779"/>
      <c r="AW2" s="779" t="s">
        <v>429</v>
      </c>
      <c r="AX2" s="779"/>
      <c r="AY2" s="779"/>
      <c r="AZ2" s="779" t="s">
        <v>429</v>
      </c>
      <c r="BA2" s="779"/>
      <c r="BB2" s="779"/>
      <c r="BC2" s="779" t="s">
        <v>429</v>
      </c>
      <c r="BD2" s="779"/>
      <c r="BE2" s="779"/>
      <c r="BF2" s="779" t="s">
        <v>429</v>
      </c>
      <c r="BG2" s="779"/>
      <c r="BH2" s="779"/>
      <c r="BI2" s="779"/>
      <c r="BJ2" s="779"/>
      <c r="BK2" s="779"/>
      <c r="BL2" s="779"/>
      <c r="BM2" s="779"/>
      <c r="BN2" s="779"/>
      <c r="BO2" s="779"/>
      <c r="BP2" s="779"/>
      <c r="BQ2" s="779"/>
      <c r="BR2" s="779"/>
      <c r="BS2" s="779"/>
      <c r="BT2" s="779"/>
      <c r="BU2" s="779"/>
      <c r="BV2" s="779"/>
      <c r="BW2" s="779"/>
      <c r="BX2" s="779"/>
      <c r="BY2" s="779"/>
      <c r="BZ2" s="779"/>
      <c r="CA2" s="779"/>
      <c r="CB2" s="779"/>
      <c r="CC2" s="787"/>
      <c r="CD2" s="787"/>
      <c r="CE2" s="422"/>
      <c r="CF2" s="422"/>
      <c r="CG2" s="422"/>
      <c r="CH2" s="422"/>
      <c r="CI2" s="422"/>
      <c r="CJ2" s="422"/>
      <c r="CK2" s="422"/>
      <c r="CL2" s="422"/>
      <c r="CM2" s="422"/>
      <c r="CN2" s="422"/>
      <c r="CO2" s="422"/>
      <c r="CP2" s="422"/>
      <c r="CQ2" s="422"/>
      <c r="CR2" s="422"/>
      <c r="CS2" s="422"/>
      <c r="CT2" s="422"/>
      <c r="CU2" s="422"/>
      <c r="CV2" s="422"/>
      <c r="CW2" s="422"/>
      <c r="CX2" s="422"/>
      <c r="CY2" s="422"/>
      <c r="CZ2" s="422"/>
      <c r="DA2" s="422"/>
      <c r="DB2" s="422"/>
      <c r="DC2" s="422"/>
      <c r="DD2" s="422"/>
      <c r="DE2" s="422"/>
      <c r="DF2" s="422"/>
    </row>
    <row r="3" spans="1:110" s="423" customFormat="1" ht="25.5" customHeight="1" x14ac:dyDescent="0.2">
      <c r="A3" s="780"/>
      <c r="B3" s="781"/>
      <c r="C3" s="784"/>
      <c r="D3" s="785"/>
      <c r="E3" s="784"/>
      <c r="F3" s="779"/>
      <c r="G3" s="424" t="s">
        <v>430</v>
      </c>
      <c r="H3" s="424" t="s">
        <v>431</v>
      </c>
      <c r="I3" s="424" t="s">
        <v>406</v>
      </c>
      <c r="J3" s="424" t="s">
        <v>430</v>
      </c>
      <c r="K3" s="424" t="s">
        <v>431</v>
      </c>
      <c r="L3" s="424" t="s">
        <v>406</v>
      </c>
      <c r="M3" s="424" t="s">
        <v>430</v>
      </c>
      <c r="N3" s="424" t="s">
        <v>431</v>
      </c>
      <c r="O3" s="424" t="s">
        <v>406</v>
      </c>
      <c r="P3" s="424" t="s">
        <v>430</v>
      </c>
      <c r="Q3" s="424" t="s">
        <v>431</v>
      </c>
      <c r="R3" s="424" t="s">
        <v>406</v>
      </c>
      <c r="S3" s="424" t="s">
        <v>430</v>
      </c>
      <c r="T3" s="424" t="s">
        <v>431</v>
      </c>
      <c r="U3" s="424" t="s">
        <v>406</v>
      </c>
      <c r="V3" s="424" t="s">
        <v>430</v>
      </c>
      <c r="W3" s="424" t="s">
        <v>431</v>
      </c>
      <c r="X3" s="424" t="s">
        <v>406</v>
      </c>
      <c r="Y3" s="424" t="s">
        <v>430</v>
      </c>
      <c r="Z3" s="424" t="s">
        <v>431</v>
      </c>
      <c r="AA3" s="424" t="s">
        <v>406</v>
      </c>
      <c r="AB3" s="424" t="s">
        <v>430</v>
      </c>
      <c r="AC3" s="424" t="s">
        <v>431</v>
      </c>
      <c r="AD3" s="424" t="s">
        <v>406</v>
      </c>
      <c r="AE3" s="424" t="s">
        <v>430</v>
      </c>
      <c r="AF3" s="424" t="s">
        <v>431</v>
      </c>
      <c r="AG3" s="424" t="s">
        <v>406</v>
      </c>
      <c r="AH3" s="424" t="s">
        <v>430</v>
      </c>
      <c r="AI3" s="424" t="s">
        <v>431</v>
      </c>
      <c r="AJ3" s="424" t="s">
        <v>406</v>
      </c>
      <c r="AK3" s="424" t="s">
        <v>430</v>
      </c>
      <c r="AL3" s="424" t="s">
        <v>431</v>
      </c>
      <c r="AM3" s="424" t="s">
        <v>406</v>
      </c>
      <c r="AN3" s="424" t="s">
        <v>430</v>
      </c>
      <c r="AO3" s="424" t="s">
        <v>431</v>
      </c>
      <c r="AP3" s="424" t="s">
        <v>406</v>
      </c>
      <c r="AQ3" s="424" t="s">
        <v>430</v>
      </c>
      <c r="AR3" s="424" t="s">
        <v>431</v>
      </c>
      <c r="AS3" s="424" t="s">
        <v>406</v>
      </c>
      <c r="AT3" s="424" t="s">
        <v>430</v>
      </c>
      <c r="AU3" s="424" t="s">
        <v>431</v>
      </c>
      <c r="AV3" s="424" t="s">
        <v>406</v>
      </c>
      <c r="AW3" s="424" t="s">
        <v>430</v>
      </c>
      <c r="AX3" s="424" t="s">
        <v>431</v>
      </c>
      <c r="AY3" s="424" t="s">
        <v>406</v>
      </c>
      <c r="AZ3" s="424" t="s">
        <v>430</v>
      </c>
      <c r="BA3" s="424" t="s">
        <v>431</v>
      </c>
      <c r="BB3" s="424" t="s">
        <v>406</v>
      </c>
      <c r="BC3" s="424" t="s">
        <v>430</v>
      </c>
      <c r="BD3" s="424" t="s">
        <v>431</v>
      </c>
      <c r="BE3" s="424" t="s">
        <v>406</v>
      </c>
      <c r="BF3" s="424" t="s">
        <v>430</v>
      </c>
      <c r="BG3" s="424" t="s">
        <v>431</v>
      </c>
      <c r="BH3" s="424" t="s">
        <v>406</v>
      </c>
      <c r="BI3" s="779"/>
      <c r="BJ3" s="779"/>
      <c r="BK3" s="779"/>
      <c r="BL3" s="779"/>
      <c r="BM3" s="779"/>
      <c r="BN3" s="779"/>
      <c r="BO3" s="779"/>
      <c r="BP3" s="779"/>
      <c r="BQ3" s="779"/>
      <c r="BR3" s="779"/>
      <c r="BS3" s="779"/>
      <c r="BT3" s="779"/>
      <c r="BU3" s="779"/>
      <c r="BV3" s="779"/>
      <c r="BW3" s="779"/>
      <c r="BX3" s="779"/>
      <c r="BY3" s="779"/>
      <c r="BZ3" s="779"/>
      <c r="CA3" s="779"/>
      <c r="CB3" s="779"/>
      <c r="CC3" s="788"/>
      <c r="CD3" s="788"/>
      <c r="CE3" s="422"/>
      <c r="CF3" s="422"/>
      <c r="CG3" s="422"/>
      <c r="CH3" s="422"/>
      <c r="CI3" s="422"/>
      <c r="CJ3" s="422"/>
      <c r="CK3" s="422"/>
      <c r="CL3" s="422"/>
      <c r="CM3" s="422"/>
      <c r="CN3" s="422"/>
      <c r="CO3" s="422"/>
      <c r="CP3" s="422"/>
      <c r="CQ3" s="422"/>
      <c r="CR3" s="422"/>
      <c r="CS3" s="422"/>
      <c r="CT3" s="422"/>
      <c r="CU3" s="422"/>
      <c r="CV3" s="422"/>
      <c r="CW3" s="422"/>
      <c r="CX3" s="422"/>
      <c r="CY3" s="422"/>
      <c r="CZ3" s="422"/>
      <c r="DA3" s="422"/>
      <c r="DB3" s="422"/>
      <c r="DC3" s="422"/>
      <c r="DD3" s="422"/>
      <c r="DE3" s="422"/>
      <c r="DF3" s="422"/>
    </row>
    <row r="4" spans="1:110" s="423" customFormat="1" ht="22.5" x14ac:dyDescent="0.2">
      <c r="A4" s="794" t="s">
        <v>409</v>
      </c>
      <c r="B4" s="425" t="s">
        <v>1639</v>
      </c>
      <c r="C4" s="426" t="s">
        <v>633</v>
      </c>
      <c r="D4" s="427"/>
      <c r="E4" s="782" t="s">
        <v>1076</v>
      </c>
      <c r="F4" s="428" t="s">
        <v>634</v>
      </c>
      <c r="G4" s="424"/>
      <c r="H4" s="424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  <c r="AD4" s="429"/>
      <c r="AE4" s="429"/>
      <c r="AF4" s="429"/>
      <c r="AG4" s="429"/>
      <c r="AH4" s="430">
        <v>60</v>
      </c>
      <c r="AI4" s="430">
        <v>16</v>
      </c>
      <c r="AJ4" s="430">
        <f>SUM(AH4:AI4)</f>
        <v>76</v>
      </c>
      <c r="AK4" s="431">
        <f t="shared" ref="AK4:AM15" si="0">AN4-AH4</f>
        <v>-60</v>
      </c>
      <c r="AL4" s="431">
        <f t="shared" si="0"/>
        <v>-16</v>
      </c>
      <c r="AM4" s="432">
        <f t="shared" si="0"/>
        <v>-76</v>
      </c>
      <c r="AN4" s="431">
        <v>0</v>
      </c>
      <c r="AO4" s="431">
        <v>0</v>
      </c>
      <c r="AP4" s="431">
        <v>0</v>
      </c>
      <c r="AQ4" s="431">
        <f t="shared" ref="AQ4:AS15" si="1">AT4-AN4</f>
        <v>0</v>
      </c>
      <c r="AR4" s="431">
        <f t="shared" si="1"/>
        <v>0</v>
      </c>
      <c r="AS4" s="431">
        <f t="shared" si="1"/>
        <v>0</v>
      </c>
      <c r="AT4" s="431">
        <v>0</v>
      </c>
      <c r="AU4" s="431">
        <v>0</v>
      </c>
      <c r="AV4" s="431">
        <v>0</v>
      </c>
      <c r="AW4" s="431"/>
      <c r="AX4" s="431"/>
      <c r="AY4" s="431"/>
      <c r="AZ4" s="431">
        <v>0</v>
      </c>
      <c r="BA4" s="431">
        <v>0</v>
      </c>
      <c r="BB4" s="431">
        <v>0</v>
      </c>
      <c r="BC4" s="431">
        <f t="shared" ref="BC4:BE10" si="2">BF4-AT4</f>
        <v>0</v>
      </c>
      <c r="BD4" s="431">
        <f t="shared" si="2"/>
        <v>0</v>
      </c>
      <c r="BE4" s="431">
        <f t="shared" si="2"/>
        <v>0</v>
      </c>
      <c r="BF4" s="431">
        <v>0</v>
      </c>
      <c r="BG4" s="431">
        <v>0</v>
      </c>
      <c r="BH4" s="431">
        <v>0</v>
      </c>
      <c r="BI4" s="789">
        <f>SUM(I4:I13)</f>
        <v>0</v>
      </c>
      <c r="BJ4" s="789">
        <f>SUM(L4:L13)</f>
        <v>0</v>
      </c>
      <c r="BK4" s="789">
        <f>SUM(O4:O13)</f>
        <v>0</v>
      </c>
      <c r="BL4" s="789">
        <f>SUM(R4:R13)</f>
        <v>0</v>
      </c>
      <c r="BM4" s="789">
        <f>SUM(U4:U13)</f>
        <v>0</v>
      </c>
      <c r="BN4" s="786">
        <f>SUM(AD4:AD13)</f>
        <v>0</v>
      </c>
      <c r="BO4" s="786">
        <f>SUM(AA4:AA13)</f>
        <v>0</v>
      </c>
      <c r="BP4" s="789"/>
      <c r="BQ4" s="789">
        <f>SUM(AG4:AG13)</f>
        <v>0</v>
      </c>
      <c r="BR4" s="797">
        <f>SUM(AJ4:AJ13)</f>
        <v>10076</v>
      </c>
      <c r="BS4" s="791">
        <f>SUM(AM4:AM13)</f>
        <v>13715</v>
      </c>
      <c r="BT4" s="791">
        <f>SUM(AP4:AP13)</f>
        <v>23791</v>
      </c>
      <c r="BU4" s="791">
        <f>SUM(AS4:AS13)</f>
        <v>2993</v>
      </c>
      <c r="BV4" s="791">
        <f>SUM(AV4:AV13)</f>
        <v>26784</v>
      </c>
      <c r="BW4" s="796">
        <f>SUM(BE4:BE13)</f>
        <v>-11657</v>
      </c>
      <c r="BX4" s="796">
        <f>SUM(BB4:BB13)</f>
        <v>26784</v>
      </c>
      <c r="BY4" s="789"/>
      <c r="BZ4" s="791">
        <f>SUM(BH4:BH13)</f>
        <v>15127</v>
      </c>
      <c r="CA4" s="791">
        <f>SUM(BQ4,BZ4)</f>
        <v>15127</v>
      </c>
      <c r="CB4" s="431">
        <v>0</v>
      </c>
      <c r="CC4" s="431">
        <v>0</v>
      </c>
      <c r="CD4" s="791">
        <f>SUM(CC4:CC13)</f>
        <v>15127</v>
      </c>
      <c r="CE4" s="422"/>
      <c r="CF4" s="422"/>
      <c r="CG4" s="422"/>
      <c r="CH4" s="422"/>
      <c r="CI4" s="422"/>
      <c r="CJ4" s="422"/>
      <c r="CK4" s="422"/>
      <c r="CL4" s="422"/>
      <c r="CM4" s="422"/>
      <c r="CN4" s="422"/>
      <c r="CO4" s="422"/>
      <c r="CP4" s="422"/>
      <c r="CQ4" s="422"/>
      <c r="CR4" s="422"/>
      <c r="CS4" s="422"/>
      <c r="CT4" s="422"/>
      <c r="CU4" s="422"/>
      <c r="CV4" s="422"/>
      <c r="CW4" s="422"/>
      <c r="CX4" s="422"/>
      <c r="CY4" s="422"/>
      <c r="CZ4" s="422"/>
      <c r="DA4" s="422"/>
      <c r="DB4" s="422"/>
      <c r="DC4" s="422"/>
      <c r="DD4" s="422"/>
      <c r="DE4" s="422"/>
      <c r="DF4" s="422"/>
    </row>
    <row r="5" spans="1:110" s="423" customFormat="1" ht="22.5" x14ac:dyDescent="0.2">
      <c r="A5" s="798"/>
      <c r="B5" s="425" t="s">
        <v>1639</v>
      </c>
      <c r="C5" s="426" t="s">
        <v>1077</v>
      </c>
      <c r="D5" s="427" t="s">
        <v>729</v>
      </c>
      <c r="E5" s="783"/>
      <c r="F5" s="428" t="s">
        <v>1640</v>
      </c>
      <c r="G5" s="424"/>
      <c r="H5" s="424"/>
      <c r="I5" s="429"/>
      <c r="J5" s="429"/>
      <c r="K5" s="429"/>
      <c r="L5" s="429"/>
      <c r="M5" s="429"/>
      <c r="N5" s="429"/>
      <c r="O5" s="433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30"/>
      <c r="AI5" s="430"/>
      <c r="AJ5" s="430"/>
      <c r="AK5" s="434">
        <f t="shared" si="0"/>
        <v>10573</v>
      </c>
      <c r="AL5" s="434">
        <f t="shared" si="0"/>
        <v>2856</v>
      </c>
      <c r="AM5" s="434">
        <f t="shared" si="0"/>
        <v>13429</v>
      </c>
      <c r="AN5" s="434">
        <v>10573</v>
      </c>
      <c r="AO5" s="434">
        <v>2856</v>
      </c>
      <c r="AP5" s="434">
        <f>SUM(AN5:AO5)</f>
        <v>13429</v>
      </c>
      <c r="AQ5" s="434">
        <f t="shared" si="1"/>
        <v>0</v>
      </c>
      <c r="AR5" s="434">
        <f t="shared" si="1"/>
        <v>0</v>
      </c>
      <c r="AS5" s="434">
        <f t="shared" si="1"/>
        <v>0</v>
      </c>
      <c r="AT5" s="434">
        <v>10573</v>
      </c>
      <c r="AU5" s="434">
        <v>2856</v>
      </c>
      <c r="AV5" s="434">
        <f>SUM(AT5:AU5)</f>
        <v>13429</v>
      </c>
      <c r="AW5" s="434"/>
      <c r="AX5" s="434"/>
      <c r="AY5" s="434"/>
      <c r="AZ5" s="434">
        <v>10573</v>
      </c>
      <c r="BA5" s="434">
        <v>2856</v>
      </c>
      <c r="BB5" s="434">
        <v>13429</v>
      </c>
      <c r="BC5" s="434">
        <f t="shared" si="2"/>
        <v>190</v>
      </c>
      <c r="BD5" s="434">
        <f t="shared" si="2"/>
        <v>-2856</v>
      </c>
      <c r="BE5" s="434">
        <f t="shared" si="2"/>
        <v>-2666</v>
      </c>
      <c r="BF5" s="434">
        <v>10763</v>
      </c>
      <c r="BG5" s="434"/>
      <c r="BH5" s="434">
        <f t="shared" ref="BH5:BH12" si="3">SUM(BF5:BG5)</f>
        <v>10763</v>
      </c>
      <c r="BI5" s="790"/>
      <c r="BJ5" s="790"/>
      <c r="BK5" s="790"/>
      <c r="BL5" s="790"/>
      <c r="BM5" s="790"/>
      <c r="BN5" s="787"/>
      <c r="BO5" s="787"/>
      <c r="BP5" s="790"/>
      <c r="BQ5" s="790"/>
      <c r="BR5" s="797"/>
      <c r="BS5" s="790"/>
      <c r="BT5" s="790"/>
      <c r="BU5" s="790"/>
      <c r="BV5" s="790"/>
      <c r="BW5" s="787"/>
      <c r="BX5" s="787"/>
      <c r="BY5" s="790"/>
      <c r="BZ5" s="790"/>
      <c r="CA5" s="792"/>
      <c r="CB5" s="431">
        <v>10762532</v>
      </c>
      <c r="CC5" s="431">
        <v>10763</v>
      </c>
      <c r="CD5" s="792"/>
      <c r="CE5" s="422"/>
      <c r="CF5" s="422"/>
      <c r="CG5" s="422"/>
      <c r="CH5" s="422"/>
      <c r="CI5" s="422"/>
      <c r="CJ5" s="422"/>
      <c r="CK5" s="422"/>
      <c r="CL5" s="422"/>
      <c r="CM5" s="422"/>
      <c r="CN5" s="422"/>
      <c r="CO5" s="422"/>
      <c r="CP5" s="422"/>
      <c r="CQ5" s="422"/>
      <c r="CR5" s="422"/>
      <c r="CS5" s="422"/>
      <c r="CT5" s="422"/>
      <c r="CU5" s="422"/>
      <c r="CV5" s="422"/>
      <c r="CW5" s="422"/>
      <c r="CX5" s="422"/>
      <c r="CY5" s="422"/>
      <c r="CZ5" s="422"/>
      <c r="DA5" s="422"/>
      <c r="DB5" s="422"/>
      <c r="DC5" s="422"/>
      <c r="DD5" s="422"/>
      <c r="DE5" s="422"/>
      <c r="DF5" s="422"/>
    </row>
    <row r="6" spans="1:110" s="423" customFormat="1" ht="22.5" x14ac:dyDescent="0.2">
      <c r="A6" s="798"/>
      <c r="B6" s="425" t="s">
        <v>1639</v>
      </c>
      <c r="C6" s="426" t="s">
        <v>1078</v>
      </c>
      <c r="D6" s="427"/>
      <c r="E6" s="783"/>
      <c r="F6" s="428" t="s">
        <v>1641</v>
      </c>
      <c r="G6" s="424"/>
      <c r="H6" s="424"/>
      <c r="I6" s="429"/>
      <c r="J6" s="429"/>
      <c r="K6" s="429"/>
      <c r="L6" s="429"/>
      <c r="M6" s="429"/>
      <c r="N6" s="429"/>
      <c r="O6" s="433"/>
      <c r="P6" s="429"/>
      <c r="Q6" s="429"/>
      <c r="R6" s="429"/>
      <c r="S6" s="429"/>
      <c r="T6" s="429"/>
      <c r="U6" s="429"/>
      <c r="V6" s="429"/>
      <c r="W6" s="429"/>
      <c r="X6" s="429"/>
      <c r="Y6" s="429"/>
      <c r="Z6" s="429"/>
      <c r="AA6" s="429"/>
      <c r="AB6" s="429"/>
      <c r="AC6" s="429"/>
      <c r="AD6" s="429"/>
      <c r="AE6" s="429"/>
      <c r="AF6" s="429"/>
      <c r="AG6" s="429"/>
      <c r="AH6" s="430"/>
      <c r="AI6" s="430"/>
      <c r="AJ6" s="430"/>
      <c r="AK6" s="434">
        <f t="shared" si="0"/>
        <v>160</v>
      </c>
      <c r="AL6" s="434">
        <f t="shared" si="0"/>
        <v>43</v>
      </c>
      <c r="AM6" s="434">
        <f t="shared" si="0"/>
        <v>203</v>
      </c>
      <c r="AN6" s="434">
        <v>160</v>
      </c>
      <c r="AO6" s="434">
        <v>43</v>
      </c>
      <c r="AP6" s="434">
        <f t="shared" ref="AP6:AP15" si="4">SUM(AN6:AO6)</f>
        <v>203</v>
      </c>
      <c r="AQ6" s="434">
        <f t="shared" si="1"/>
        <v>0</v>
      </c>
      <c r="AR6" s="434">
        <f t="shared" si="1"/>
        <v>0</v>
      </c>
      <c r="AS6" s="434">
        <f t="shared" si="1"/>
        <v>0</v>
      </c>
      <c r="AT6" s="434">
        <v>160</v>
      </c>
      <c r="AU6" s="434">
        <v>43</v>
      </c>
      <c r="AV6" s="434">
        <f t="shared" ref="AV6:AV15" si="5">SUM(AT6:AU6)</f>
        <v>203</v>
      </c>
      <c r="AW6" s="434"/>
      <c r="AX6" s="434"/>
      <c r="AY6" s="434"/>
      <c r="AZ6" s="434">
        <v>160</v>
      </c>
      <c r="BA6" s="434">
        <v>43</v>
      </c>
      <c r="BB6" s="434">
        <v>203</v>
      </c>
      <c r="BC6" s="434">
        <f t="shared" si="2"/>
        <v>0</v>
      </c>
      <c r="BD6" s="434">
        <f t="shared" si="2"/>
        <v>0</v>
      </c>
      <c r="BE6" s="434">
        <f t="shared" si="2"/>
        <v>0</v>
      </c>
      <c r="BF6" s="434">
        <v>160</v>
      </c>
      <c r="BG6" s="434">
        <v>43</v>
      </c>
      <c r="BH6" s="434">
        <f t="shared" si="3"/>
        <v>203</v>
      </c>
      <c r="BI6" s="790"/>
      <c r="BJ6" s="790"/>
      <c r="BK6" s="790"/>
      <c r="BL6" s="790"/>
      <c r="BM6" s="790"/>
      <c r="BN6" s="787"/>
      <c r="BO6" s="787"/>
      <c r="BP6" s="790"/>
      <c r="BQ6" s="790"/>
      <c r="BR6" s="797"/>
      <c r="BS6" s="790"/>
      <c r="BT6" s="790"/>
      <c r="BU6" s="790"/>
      <c r="BV6" s="790"/>
      <c r="BW6" s="787"/>
      <c r="BX6" s="787"/>
      <c r="BY6" s="790"/>
      <c r="BZ6" s="790"/>
      <c r="CA6" s="792"/>
      <c r="CB6" s="431">
        <v>160000</v>
      </c>
      <c r="CC6" s="431">
        <v>203</v>
      </c>
      <c r="CD6" s="792"/>
      <c r="CE6" s="422"/>
      <c r="CF6" s="422"/>
      <c r="CG6" s="422"/>
      <c r="CH6" s="422"/>
      <c r="CI6" s="422"/>
      <c r="CJ6" s="422"/>
      <c r="CK6" s="422"/>
      <c r="CL6" s="422"/>
      <c r="CM6" s="422"/>
      <c r="CN6" s="422"/>
      <c r="CO6" s="422"/>
      <c r="CP6" s="422"/>
      <c r="CQ6" s="422"/>
      <c r="CR6" s="422"/>
      <c r="CS6" s="422"/>
      <c r="CT6" s="422"/>
      <c r="CU6" s="422"/>
      <c r="CV6" s="422"/>
      <c r="CW6" s="422"/>
      <c r="CX6" s="422"/>
      <c r="CY6" s="422"/>
      <c r="CZ6" s="422"/>
      <c r="DA6" s="422"/>
      <c r="DB6" s="422"/>
      <c r="DC6" s="422"/>
      <c r="DD6" s="422"/>
      <c r="DE6" s="422"/>
      <c r="DF6" s="422"/>
    </row>
    <row r="7" spans="1:110" s="423" customFormat="1" x14ac:dyDescent="0.2">
      <c r="A7" s="798"/>
      <c r="B7" s="425" t="s">
        <v>1639</v>
      </c>
      <c r="C7" s="426" t="s">
        <v>1079</v>
      </c>
      <c r="D7" s="427"/>
      <c r="E7" s="783"/>
      <c r="F7" s="428" t="s">
        <v>1080</v>
      </c>
      <c r="G7" s="424"/>
      <c r="H7" s="424"/>
      <c r="I7" s="429"/>
      <c r="J7" s="429"/>
      <c r="K7" s="429"/>
      <c r="L7" s="429"/>
      <c r="M7" s="435"/>
      <c r="N7" s="435"/>
      <c r="O7" s="433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30"/>
      <c r="AI7" s="430"/>
      <c r="AJ7" s="430"/>
      <c r="AK7" s="434">
        <f t="shared" si="0"/>
        <v>6</v>
      </c>
      <c r="AL7" s="434">
        <f t="shared" si="0"/>
        <v>1</v>
      </c>
      <c r="AM7" s="434">
        <f t="shared" si="0"/>
        <v>7</v>
      </c>
      <c r="AN7" s="434">
        <v>6</v>
      </c>
      <c r="AO7" s="434">
        <v>1</v>
      </c>
      <c r="AP7" s="434">
        <f t="shared" si="4"/>
        <v>7</v>
      </c>
      <c r="AQ7" s="434">
        <f t="shared" si="1"/>
        <v>0</v>
      </c>
      <c r="AR7" s="434">
        <f t="shared" si="1"/>
        <v>0</v>
      </c>
      <c r="AS7" s="434">
        <f t="shared" si="1"/>
        <v>0</v>
      </c>
      <c r="AT7" s="434">
        <v>6</v>
      </c>
      <c r="AU7" s="434">
        <v>1</v>
      </c>
      <c r="AV7" s="434">
        <f t="shared" si="5"/>
        <v>7</v>
      </c>
      <c r="AW7" s="434"/>
      <c r="AX7" s="434"/>
      <c r="AY7" s="434"/>
      <c r="AZ7" s="434">
        <v>6</v>
      </c>
      <c r="BA7" s="434">
        <v>1</v>
      </c>
      <c r="BB7" s="434">
        <v>7</v>
      </c>
      <c r="BC7" s="434">
        <f t="shared" si="2"/>
        <v>0</v>
      </c>
      <c r="BD7" s="434">
        <f t="shared" si="2"/>
        <v>0</v>
      </c>
      <c r="BE7" s="434">
        <f t="shared" si="2"/>
        <v>0</v>
      </c>
      <c r="BF7" s="434">
        <v>6</v>
      </c>
      <c r="BG7" s="434">
        <v>1</v>
      </c>
      <c r="BH7" s="434">
        <f t="shared" si="3"/>
        <v>7</v>
      </c>
      <c r="BI7" s="790"/>
      <c r="BJ7" s="790"/>
      <c r="BK7" s="790"/>
      <c r="BL7" s="790"/>
      <c r="BM7" s="790"/>
      <c r="BN7" s="787"/>
      <c r="BO7" s="787"/>
      <c r="BP7" s="790"/>
      <c r="BQ7" s="790"/>
      <c r="BR7" s="797"/>
      <c r="BS7" s="790"/>
      <c r="BT7" s="790"/>
      <c r="BU7" s="790"/>
      <c r="BV7" s="790"/>
      <c r="BW7" s="787"/>
      <c r="BX7" s="787"/>
      <c r="BY7" s="790"/>
      <c r="BZ7" s="790"/>
      <c r="CA7" s="792"/>
      <c r="CB7" s="431">
        <v>5886</v>
      </c>
      <c r="CC7" s="431">
        <v>7</v>
      </c>
      <c r="CD7" s="792"/>
      <c r="CE7" s="422"/>
      <c r="CF7" s="422"/>
      <c r="CG7" s="422"/>
      <c r="CH7" s="422"/>
      <c r="CI7" s="422"/>
      <c r="CJ7" s="422"/>
      <c r="CK7" s="422"/>
      <c r="CL7" s="422"/>
      <c r="CM7" s="422"/>
      <c r="CN7" s="422"/>
      <c r="CO7" s="422"/>
      <c r="CP7" s="422"/>
      <c r="CQ7" s="422"/>
      <c r="CR7" s="422"/>
      <c r="CS7" s="422"/>
      <c r="CT7" s="422"/>
      <c r="CU7" s="422"/>
      <c r="CV7" s="422"/>
      <c r="CW7" s="422"/>
      <c r="CX7" s="422"/>
      <c r="CY7" s="422"/>
      <c r="CZ7" s="422"/>
      <c r="DA7" s="422"/>
      <c r="DB7" s="422"/>
      <c r="DC7" s="422"/>
      <c r="DD7" s="422"/>
      <c r="DE7" s="422"/>
      <c r="DF7" s="422"/>
    </row>
    <row r="8" spans="1:110" s="423" customFormat="1" ht="22.5" x14ac:dyDescent="0.2">
      <c r="A8" s="798"/>
      <c r="B8" s="425" t="s">
        <v>1639</v>
      </c>
      <c r="C8" s="426" t="s">
        <v>1081</v>
      </c>
      <c r="D8" s="427"/>
      <c r="E8" s="783"/>
      <c r="F8" s="428" t="s">
        <v>1082</v>
      </c>
      <c r="G8" s="424"/>
      <c r="H8" s="424"/>
      <c r="I8" s="429"/>
      <c r="J8" s="429"/>
      <c r="K8" s="429"/>
      <c r="L8" s="429"/>
      <c r="M8" s="435"/>
      <c r="N8" s="435"/>
      <c r="O8" s="433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29"/>
      <c r="AD8" s="429"/>
      <c r="AE8" s="429"/>
      <c r="AF8" s="429"/>
      <c r="AG8" s="429"/>
      <c r="AH8" s="430"/>
      <c r="AI8" s="430"/>
      <c r="AJ8" s="430"/>
      <c r="AK8" s="434">
        <f t="shared" si="0"/>
        <v>120</v>
      </c>
      <c r="AL8" s="434">
        <f t="shared" si="0"/>
        <v>32</v>
      </c>
      <c r="AM8" s="434">
        <f t="shared" si="0"/>
        <v>152</v>
      </c>
      <c r="AN8" s="434">
        <v>120</v>
      </c>
      <c r="AO8" s="434">
        <v>32</v>
      </c>
      <c r="AP8" s="434">
        <f t="shared" si="4"/>
        <v>152</v>
      </c>
      <c r="AQ8" s="434">
        <f t="shared" si="1"/>
        <v>0</v>
      </c>
      <c r="AR8" s="434">
        <f t="shared" si="1"/>
        <v>0</v>
      </c>
      <c r="AS8" s="434">
        <f t="shared" si="1"/>
        <v>0</v>
      </c>
      <c r="AT8" s="434">
        <v>120</v>
      </c>
      <c r="AU8" s="434">
        <v>32</v>
      </c>
      <c r="AV8" s="434">
        <f t="shared" si="5"/>
        <v>152</v>
      </c>
      <c r="AW8" s="434"/>
      <c r="AX8" s="434"/>
      <c r="AY8" s="434"/>
      <c r="AZ8" s="434">
        <v>120</v>
      </c>
      <c r="BA8" s="434">
        <v>32</v>
      </c>
      <c r="BB8" s="434">
        <v>152</v>
      </c>
      <c r="BC8" s="434">
        <f t="shared" si="2"/>
        <v>0</v>
      </c>
      <c r="BD8" s="434">
        <f t="shared" si="2"/>
        <v>0</v>
      </c>
      <c r="BE8" s="434">
        <f t="shared" si="2"/>
        <v>0</v>
      </c>
      <c r="BF8" s="434">
        <v>120</v>
      </c>
      <c r="BG8" s="434">
        <v>32</v>
      </c>
      <c r="BH8" s="434">
        <f t="shared" si="3"/>
        <v>152</v>
      </c>
      <c r="BI8" s="790"/>
      <c r="BJ8" s="790"/>
      <c r="BK8" s="790"/>
      <c r="BL8" s="790"/>
      <c r="BM8" s="790"/>
      <c r="BN8" s="787"/>
      <c r="BO8" s="787"/>
      <c r="BP8" s="790"/>
      <c r="BQ8" s="790"/>
      <c r="BR8" s="797"/>
      <c r="BS8" s="790"/>
      <c r="BT8" s="790"/>
      <c r="BU8" s="790"/>
      <c r="BV8" s="790"/>
      <c r="BW8" s="787"/>
      <c r="BX8" s="787"/>
      <c r="BY8" s="790"/>
      <c r="BZ8" s="790"/>
      <c r="CA8" s="792"/>
      <c r="CB8" s="431">
        <v>120000</v>
      </c>
      <c r="CC8" s="431">
        <v>153</v>
      </c>
      <c r="CD8" s="792"/>
      <c r="CE8" s="422"/>
      <c r="CF8" s="422"/>
      <c r="CG8" s="422"/>
      <c r="CH8" s="422"/>
      <c r="CI8" s="422"/>
      <c r="CJ8" s="422"/>
      <c r="CK8" s="422"/>
      <c r="CL8" s="422"/>
      <c r="CM8" s="422"/>
      <c r="CN8" s="422"/>
      <c r="CO8" s="422"/>
      <c r="CP8" s="422"/>
      <c r="CQ8" s="422"/>
      <c r="CR8" s="422"/>
      <c r="CS8" s="422"/>
      <c r="CT8" s="422"/>
      <c r="CU8" s="422"/>
      <c r="CV8" s="422"/>
      <c r="CW8" s="422"/>
      <c r="CX8" s="422"/>
      <c r="CY8" s="422"/>
      <c r="CZ8" s="422"/>
      <c r="DA8" s="422"/>
      <c r="DB8" s="422"/>
      <c r="DC8" s="422"/>
      <c r="DD8" s="422"/>
      <c r="DE8" s="422"/>
      <c r="DF8" s="422"/>
    </row>
    <row r="9" spans="1:110" s="423" customFormat="1" ht="22.5" x14ac:dyDescent="0.2">
      <c r="A9" s="798"/>
      <c r="B9" s="425" t="s">
        <v>1639</v>
      </c>
      <c r="C9" s="436" t="s">
        <v>1642</v>
      </c>
      <c r="D9" s="427"/>
      <c r="E9" s="783"/>
      <c r="F9" s="428" t="s">
        <v>1284</v>
      </c>
      <c r="G9" s="424"/>
      <c r="H9" s="424"/>
      <c r="I9" s="429"/>
      <c r="J9" s="429"/>
      <c r="K9" s="429"/>
      <c r="L9" s="429"/>
      <c r="M9" s="435"/>
      <c r="N9" s="435"/>
      <c r="O9" s="433"/>
      <c r="P9" s="429"/>
      <c r="Q9" s="429"/>
      <c r="R9" s="429"/>
      <c r="S9" s="429"/>
      <c r="T9" s="429"/>
      <c r="U9" s="429"/>
      <c r="V9" s="429"/>
      <c r="W9" s="429"/>
      <c r="X9" s="429"/>
      <c r="Y9" s="429"/>
      <c r="Z9" s="429"/>
      <c r="AA9" s="429"/>
      <c r="AB9" s="429"/>
      <c r="AC9" s="429"/>
      <c r="AD9" s="429"/>
      <c r="AE9" s="429"/>
      <c r="AF9" s="429"/>
      <c r="AG9" s="429"/>
      <c r="AH9" s="430"/>
      <c r="AI9" s="430"/>
      <c r="AJ9" s="430"/>
      <c r="AK9" s="434"/>
      <c r="AL9" s="434"/>
      <c r="AM9" s="434"/>
      <c r="AN9" s="434"/>
      <c r="AO9" s="434"/>
      <c r="AP9" s="434"/>
      <c r="AQ9" s="434">
        <f t="shared" si="1"/>
        <v>160</v>
      </c>
      <c r="AR9" s="434">
        <f t="shared" si="1"/>
        <v>43</v>
      </c>
      <c r="AS9" s="434">
        <f t="shared" si="1"/>
        <v>203</v>
      </c>
      <c r="AT9" s="434">
        <v>160</v>
      </c>
      <c r="AU9" s="434">
        <v>43</v>
      </c>
      <c r="AV9" s="434">
        <f t="shared" si="5"/>
        <v>203</v>
      </c>
      <c r="AW9" s="434"/>
      <c r="AX9" s="434"/>
      <c r="AY9" s="434"/>
      <c r="AZ9" s="434">
        <v>160</v>
      </c>
      <c r="BA9" s="434">
        <v>43</v>
      </c>
      <c r="BB9" s="434">
        <v>203</v>
      </c>
      <c r="BC9" s="434">
        <f t="shared" si="2"/>
        <v>0</v>
      </c>
      <c r="BD9" s="434">
        <f t="shared" si="2"/>
        <v>0</v>
      </c>
      <c r="BE9" s="434">
        <f t="shared" si="2"/>
        <v>0</v>
      </c>
      <c r="BF9" s="434">
        <v>160</v>
      </c>
      <c r="BG9" s="434">
        <v>43</v>
      </c>
      <c r="BH9" s="434">
        <f t="shared" si="3"/>
        <v>203</v>
      </c>
      <c r="BI9" s="790"/>
      <c r="BJ9" s="790"/>
      <c r="BK9" s="790"/>
      <c r="BL9" s="790"/>
      <c r="BM9" s="790"/>
      <c r="BN9" s="787"/>
      <c r="BO9" s="787"/>
      <c r="BP9" s="790"/>
      <c r="BQ9" s="790"/>
      <c r="BR9" s="797"/>
      <c r="BS9" s="790"/>
      <c r="BT9" s="790"/>
      <c r="BU9" s="790"/>
      <c r="BV9" s="790"/>
      <c r="BW9" s="787"/>
      <c r="BX9" s="787"/>
      <c r="BY9" s="790"/>
      <c r="BZ9" s="790"/>
      <c r="CA9" s="792"/>
      <c r="CB9" s="431">
        <v>160000</v>
      </c>
      <c r="CC9" s="431">
        <v>203</v>
      </c>
      <c r="CD9" s="792"/>
      <c r="CE9" s="422"/>
      <c r="CF9" s="422"/>
      <c r="CG9" s="422"/>
      <c r="CH9" s="422"/>
      <c r="CI9" s="422"/>
      <c r="CJ9" s="422"/>
      <c r="CK9" s="422"/>
      <c r="CL9" s="422"/>
      <c r="CM9" s="422"/>
      <c r="CN9" s="422"/>
      <c r="CO9" s="422"/>
      <c r="CP9" s="422"/>
      <c r="CQ9" s="422"/>
      <c r="CR9" s="422"/>
      <c r="CS9" s="422"/>
      <c r="CT9" s="422"/>
      <c r="CU9" s="422"/>
      <c r="CV9" s="422"/>
      <c r="CW9" s="422"/>
      <c r="CX9" s="422"/>
      <c r="CY9" s="422"/>
      <c r="CZ9" s="422"/>
      <c r="DA9" s="422"/>
      <c r="DB9" s="422"/>
      <c r="DC9" s="422"/>
      <c r="DD9" s="422"/>
      <c r="DE9" s="422"/>
      <c r="DF9" s="422"/>
    </row>
    <row r="10" spans="1:110" s="423" customFormat="1" ht="22.5" x14ac:dyDescent="0.2">
      <c r="A10" s="798"/>
      <c r="B10" s="425" t="s">
        <v>1639</v>
      </c>
      <c r="C10" s="436" t="s">
        <v>1643</v>
      </c>
      <c r="D10" s="427" t="s">
        <v>729</v>
      </c>
      <c r="E10" s="783"/>
      <c r="F10" s="428" t="s">
        <v>1644</v>
      </c>
      <c r="G10" s="424"/>
      <c r="H10" s="424"/>
      <c r="I10" s="429"/>
      <c r="J10" s="429"/>
      <c r="K10" s="429"/>
      <c r="L10" s="429"/>
      <c r="M10" s="435"/>
      <c r="N10" s="435"/>
      <c r="O10" s="433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30"/>
      <c r="AI10" s="430"/>
      <c r="AJ10" s="430"/>
      <c r="AK10" s="434"/>
      <c r="AL10" s="434"/>
      <c r="AM10" s="434"/>
      <c r="AN10" s="434"/>
      <c r="AO10" s="434"/>
      <c r="AP10" s="434"/>
      <c r="AQ10" s="434">
        <f t="shared" si="1"/>
        <v>2197</v>
      </c>
      <c r="AR10" s="434">
        <f t="shared" si="1"/>
        <v>593</v>
      </c>
      <c r="AS10" s="434">
        <f t="shared" si="1"/>
        <v>2790</v>
      </c>
      <c r="AT10" s="434">
        <v>2197</v>
      </c>
      <c r="AU10" s="434">
        <v>593</v>
      </c>
      <c r="AV10" s="434">
        <f t="shared" si="5"/>
        <v>2790</v>
      </c>
      <c r="AW10" s="434"/>
      <c r="AX10" s="434"/>
      <c r="AY10" s="434"/>
      <c r="AZ10" s="434">
        <v>2197</v>
      </c>
      <c r="BA10" s="434">
        <v>593</v>
      </c>
      <c r="BB10" s="434">
        <v>2790</v>
      </c>
      <c r="BC10" s="434">
        <f t="shared" si="2"/>
        <v>0</v>
      </c>
      <c r="BD10" s="434">
        <f t="shared" si="2"/>
        <v>-593</v>
      </c>
      <c r="BE10" s="434">
        <f t="shared" si="2"/>
        <v>-593</v>
      </c>
      <c r="BF10" s="434">
        <v>2197</v>
      </c>
      <c r="BG10" s="434"/>
      <c r="BH10" s="434">
        <f t="shared" si="3"/>
        <v>2197</v>
      </c>
      <c r="BI10" s="790"/>
      <c r="BJ10" s="790"/>
      <c r="BK10" s="790"/>
      <c r="BL10" s="790"/>
      <c r="BM10" s="790"/>
      <c r="BN10" s="787"/>
      <c r="BO10" s="787"/>
      <c r="BP10" s="790"/>
      <c r="BQ10" s="790"/>
      <c r="BR10" s="797"/>
      <c r="BS10" s="790"/>
      <c r="BT10" s="790"/>
      <c r="BU10" s="790"/>
      <c r="BV10" s="790"/>
      <c r="BW10" s="787"/>
      <c r="BX10" s="787"/>
      <c r="BY10" s="790"/>
      <c r="BZ10" s="790"/>
      <c r="CA10" s="792"/>
      <c r="CB10" s="431">
        <v>2196913</v>
      </c>
      <c r="CC10" s="431">
        <v>2197</v>
      </c>
      <c r="CD10" s="792"/>
      <c r="CE10" s="422"/>
      <c r="CF10" s="422"/>
      <c r="CG10" s="422"/>
      <c r="CH10" s="422"/>
      <c r="CI10" s="422"/>
      <c r="CJ10" s="422"/>
      <c r="CK10" s="422"/>
      <c r="CL10" s="422"/>
      <c r="CM10" s="422"/>
      <c r="CN10" s="422"/>
      <c r="CO10" s="422"/>
      <c r="CP10" s="422"/>
      <c r="CQ10" s="422"/>
      <c r="CR10" s="422"/>
      <c r="CS10" s="422"/>
      <c r="CT10" s="422"/>
      <c r="CU10" s="422"/>
      <c r="CV10" s="422"/>
      <c r="CW10" s="422"/>
      <c r="CX10" s="422"/>
      <c r="CY10" s="422"/>
      <c r="CZ10" s="422"/>
      <c r="DA10" s="422"/>
      <c r="DB10" s="422"/>
      <c r="DC10" s="422"/>
      <c r="DD10" s="422"/>
      <c r="DE10" s="422"/>
      <c r="DF10" s="422"/>
    </row>
    <row r="11" spans="1:110" s="423" customFormat="1" ht="22.5" x14ac:dyDescent="0.2">
      <c r="A11" s="798"/>
      <c r="B11" s="425" t="s">
        <v>1639</v>
      </c>
      <c r="C11" s="436" t="s">
        <v>1645</v>
      </c>
      <c r="D11" s="427" t="s">
        <v>729</v>
      </c>
      <c r="E11" s="783"/>
      <c r="F11" s="428" t="s">
        <v>1646</v>
      </c>
      <c r="G11" s="424"/>
      <c r="H11" s="424"/>
      <c r="I11" s="429"/>
      <c r="J11" s="429"/>
      <c r="K11" s="429"/>
      <c r="L11" s="429"/>
      <c r="M11" s="435"/>
      <c r="N11" s="435"/>
      <c r="O11" s="433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  <c r="AA11" s="429"/>
      <c r="AB11" s="429"/>
      <c r="AC11" s="429"/>
      <c r="AD11" s="429"/>
      <c r="AE11" s="429"/>
      <c r="AF11" s="429"/>
      <c r="AG11" s="429"/>
      <c r="AH11" s="430"/>
      <c r="AI11" s="430"/>
      <c r="AJ11" s="430"/>
      <c r="AK11" s="434"/>
      <c r="AL11" s="434"/>
      <c r="AM11" s="434"/>
      <c r="AN11" s="434"/>
      <c r="AO11" s="434"/>
      <c r="AP11" s="434"/>
      <c r="AQ11" s="434"/>
      <c r="AR11" s="434"/>
      <c r="AS11" s="434"/>
      <c r="AT11" s="434"/>
      <c r="AU11" s="434"/>
      <c r="AV11" s="434"/>
      <c r="AW11" s="434"/>
      <c r="AX11" s="434"/>
      <c r="AY11" s="434"/>
      <c r="AZ11" s="434"/>
      <c r="BA11" s="434"/>
      <c r="BB11" s="434"/>
      <c r="BC11" s="434">
        <f>BF11-AT11</f>
        <v>1492</v>
      </c>
      <c r="BD11" s="434">
        <f>BG11-AU11</f>
        <v>0</v>
      </c>
      <c r="BE11" s="434">
        <f>BH11-AV11</f>
        <v>1492</v>
      </c>
      <c r="BF11" s="434">
        <v>1492</v>
      </c>
      <c r="BG11" s="434"/>
      <c r="BH11" s="434">
        <f t="shared" si="3"/>
        <v>1492</v>
      </c>
      <c r="BI11" s="790"/>
      <c r="BJ11" s="790"/>
      <c r="BK11" s="790"/>
      <c r="BL11" s="790"/>
      <c r="BM11" s="790"/>
      <c r="BN11" s="787"/>
      <c r="BO11" s="787"/>
      <c r="BP11" s="790"/>
      <c r="BQ11" s="790"/>
      <c r="BR11" s="797"/>
      <c r="BS11" s="790"/>
      <c r="BT11" s="790"/>
      <c r="BU11" s="790"/>
      <c r="BV11" s="790"/>
      <c r="BW11" s="787"/>
      <c r="BX11" s="787"/>
      <c r="BY11" s="790"/>
      <c r="BZ11" s="790"/>
      <c r="CA11" s="792"/>
      <c r="CB11" s="431">
        <v>1491979</v>
      </c>
      <c r="CC11" s="431">
        <v>1492</v>
      </c>
      <c r="CD11" s="792"/>
      <c r="CE11" s="422"/>
      <c r="CF11" s="422"/>
      <c r="CG11" s="422"/>
      <c r="CH11" s="422"/>
      <c r="CI11" s="422"/>
      <c r="CJ11" s="422"/>
      <c r="CK11" s="422"/>
      <c r="CL11" s="422"/>
      <c r="CM11" s="422"/>
      <c r="CN11" s="422"/>
      <c r="CO11" s="422"/>
      <c r="CP11" s="422"/>
      <c r="CQ11" s="422"/>
      <c r="CR11" s="422"/>
      <c r="CS11" s="422"/>
      <c r="CT11" s="422"/>
      <c r="CU11" s="422"/>
      <c r="CV11" s="422"/>
      <c r="CW11" s="422"/>
      <c r="CX11" s="422"/>
      <c r="CY11" s="422"/>
      <c r="CZ11" s="422"/>
      <c r="DA11" s="422"/>
      <c r="DB11" s="422"/>
      <c r="DC11" s="422"/>
      <c r="DD11" s="422"/>
      <c r="DE11" s="422"/>
      <c r="DF11" s="422"/>
    </row>
    <row r="12" spans="1:110" s="423" customFormat="1" ht="22.5" x14ac:dyDescent="0.2">
      <c r="A12" s="798"/>
      <c r="B12" s="425" t="s">
        <v>1639</v>
      </c>
      <c r="C12" s="436" t="s">
        <v>1647</v>
      </c>
      <c r="D12" s="427" t="s">
        <v>729</v>
      </c>
      <c r="E12" s="784"/>
      <c r="F12" s="428" t="s">
        <v>1648</v>
      </c>
      <c r="G12" s="424"/>
      <c r="H12" s="424"/>
      <c r="I12" s="429"/>
      <c r="J12" s="429"/>
      <c r="K12" s="429"/>
      <c r="L12" s="429"/>
      <c r="M12" s="435"/>
      <c r="N12" s="435"/>
      <c r="O12" s="433"/>
      <c r="P12" s="429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30"/>
      <c r="AI12" s="430"/>
      <c r="AJ12" s="430"/>
      <c r="AK12" s="434"/>
      <c r="AL12" s="434"/>
      <c r="AM12" s="434"/>
      <c r="AN12" s="434"/>
      <c r="AO12" s="434"/>
      <c r="AP12" s="434"/>
      <c r="AQ12" s="434"/>
      <c r="AR12" s="434"/>
      <c r="AS12" s="434"/>
      <c r="AT12" s="434"/>
      <c r="AU12" s="434"/>
      <c r="AV12" s="434"/>
      <c r="AW12" s="434"/>
      <c r="AX12" s="434"/>
      <c r="AY12" s="434"/>
      <c r="AZ12" s="434"/>
      <c r="BA12" s="434"/>
      <c r="BB12" s="434"/>
      <c r="BC12" s="434">
        <f t="shared" ref="BC12:BE18" si="6">BF12-AT12</f>
        <v>110</v>
      </c>
      <c r="BD12" s="434">
        <f t="shared" si="6"/>
        <v>0</v>
      </c>
      <c r="BE12" s="434">
        <f t="shared" si="6"/>
        <v>110</v>
      </c>
      <c r="BF12" s="434">
        <v>110</v>
      </c>
      <c r="BG12" s="434"/>
      <c r="BH12" s="434">
        <f t="shared" si="3"/>
        <v>110</v>
      </c>
      <c r="BI12" s="790"/>
      <c r="BJ12" s="790"/>
      <c r="BK12" s="790"/>
      <c r="BL12" s="790"/>
      <c r="BM12" s="790"/>
      <c r="BN12" s="787"/>
      <c r="BO12" s="787"/>
      <c r="BP12" s="790"/>
      <c r="BQ12" s="790"/>
      <c r="BR12" s="797"/>
      <c r="BS12" s="790"/>
      <c r="BT12" s="790"/>
      <c r="BU12" s="790"/>
      <c r="BV12" s="790"/>
      <c r="BW12" s="787"/>
      <c r="BX12" s="787"/>
      <c r="BY12" s="790"/>
      <c r="BZ12" s="790"/>
      <c r="CA12" s="792"/>
      <c r="CB12" s="431">
        <v>109255</v>
      </c>
      <c r="CC12" s="431">
        <v>109</v>
      </c>
      <c r="CD12" s="792"/>
      <c r="CE12" s="422"/>
      <c r="CF12" s="422"/>
      <c r="CG12" s="422"/>
      <c r="CH12" s="422"/>
      <c r="CI12" s="422"/>
      <c r="CJ12" s="422"/>
      <c r="CK12" s="422"/>
      <c r="CL12" s="422"/>
      <c r="CM12" s="422"/>
      <c r="CN12" s="422"/>
      <c r="CO12" s="422"/>
      <c r="CP12" s="422"/>
      <c r="CQ12" s="422"/>
      <c r="CR12" s="422"/>
      <c r="CS12" s="422"/>
      <c r="CT12" s="422"/>
      <c r="CU12" s="422"/>
      <c r="CV12" s="422"/>
      <c r="CW12" s="422"/>
      <c r="CX12" s="422"/>
      <c r="CY12" s="422"/>
      <c r="CZ12" s="422"/>
      <c r="DA12" s="422"/>
      <c r="DB12" s="422"/>
      <c r="DC12" s="422"/>
      <c r="DD12" s="422"/>
      <c r="DE12" s="422"/>
      <c r="DF12" s="422"/>
    </row>
    <row r="13" spans="1:110" s="423" customFormat="1" ht="27.75" customHeight="1" x14ac:dyDescent="0.2">
      <c r="A13" s="798"/>
      <c r="B13" s="425" t="s">
        <v>1639</v>
      </c>
      <c r="C13" s="437" t="s">
        <v>1143</v>
      </c>
      <c r="D13" s="427"/>
      <c r="E13" s="438" t="s">
        <v>1083</v>
      </c>
      <c r="F13" s="439" t="s">
        <v>1649</v>
      </c>
      <c r="G13" s="424"/>
      <c r="H13" s="424"/>
      <c r="I13" s="429"/>
      <c r="J13" s="429"/>
      <c r="K13" s="429"/>
      <c r="L13" s="429"/>
      <c r="M13" s="435"/>
      <c r="N13" s="435"/>
      <c r="O13" s="435"/>
      <c r="P13" s="429"/>
      <c r="Q13" s="429"/>
      <c r="R13" s="429"/>
      <c r="S13" s="429"/>
      <c r="T13" s="429"/>
      <c r="U13" s="429"/>
      <c r="V13" s="429"/>
      <c r="W13" s="429"/>
      <c r="X13" s="429"/>
      <c r="Y13" s="429"/>
      <c r="Z13" s="429"/>
      <c r="AA13" s="429"/>
      <c r="AB13" s="429"/>
      <c r="AC13" s="429"/>
      <c r="AD13" s="429"/>
      <c r="AE13" s="429"/>
      <c r="AF13" s="429"/>
      <c r="AG13" s="429"/>
      <c r="AH13" s="440">
        <v>7874</v>
      </c>
      <c r="AI13" s="440">
        <v>2126</v>
      </c>
      <c r="AJ13" s="440">
        <v>10000</v>
      </c>
      <c r="AK13" s="441">
        <f t="shared" si="0"/>
        <v>0</v>
      </c>
      <c r="AL13" s="441">
        <f t="shared" si="0"/>
        <v>0</v>
      </c>
      <c r="AM13" s="441">
        <f t="shared" si="0"/>
        <v>0</v>
      </c>
      <c r="AN13" s="442">
        <v>7874</v>
      </c>
      <c r="AO13" s="442">
        <v>2126</v>
      </c>
      <c r="AP13" s="442">
        <f t="shared" si="4"/>
        <v>10000</v>
      </c>
      <c r="AQ13" s="441">
        <f t="shared" si="1"/>
        <v>0</v>
      </c>
      <c r="AR13" s="441">
        <f t="shared" si="1"/>
        <v>0</v>
      </c>
      <c r="AS13" s="441">
        <f t="shared" si="1"/>
        <v>0</v>
      </c>
      <c r="AT13" s="442">
        <v>7874</v>
      </c>
      <c r="AU13" s="442">
        <v>2126</v>
      </c>
      <c r="AV13" s="442">
        <f t="shared" si="5"/>
        <v>10000</v>
      </c>
      <c r="AW13" s="442"/>
      <c r="AX13" s="442"/>
      <c r="AY13" s="442"/>
      <c r="AZ13" s="442">
        <v>7874</v>
      </c>
      <c r="BA13" s="442">
        <v>2126</v>
      </c>
      <c r="BB13" s="442">
        <v>10000</v>
      </c>
      <c r="BC13" s="442">
        <f t="shared" si="6"/>
        <v>-7874</v>
      </c>
      <c r="BD13" s="442">
        <f t="shared" si="6"/>
        <v>-2126</v>
      </c>
      <c r="BE13" s="442">
        <f t="shared" si="6"/>
        <v>-10000</v>
      </c>
      <c r="BF13" s="442">
        <v>0</v>
      </c>
      <c r="BG13" s="442">
        <v>0</v>
      </c>
      <c r="BH13" s="442">
        <v>0</v>
      </c>
      <c r="BI13" s="790"/>
      <c r="BJ13" s="790"/>
      <c r="BK13" s="790"/>
      <c r="BL13" s="790"/>
      <c r="BM13" s="790"/>
      <c r="BN13" s="788"/>
      <c r="BO13" s="788"/>
      <c r="BP13" s="790"/>
      <c r="BQ13" s="790"/>
      <c r="BR13" s="797"/>
      <c r="BS13" s="790"/>
      <c r="BT13" s="790"/>
      <c r="BU13" s="790"/>
      <c r="BV13" s="790"/>
      <c r="BW13" s="788"/>
      <c r="BX13" s="788"/>
      <c r="BY13" s="790"/>
      <c r="BZ13" s="790"/>
      <c r="CA13" s="792"/>
      <c r="CB13" s="431">
        <v>0</v>
      </c>
      <c r="CC13" s="431">
        <v>0</v>
      </c>
      <c r="CD13" s="793"/>
      <c r="CE13" s="422"/>
      <c r="CF13" s="422"/>
      <c r="CG13" s="422"/>
      <c r="CH13" s="422"/>
      <c r="CI13" s="422"/>
      <c r="CJ13" s="422"/>
      <c r="CK13" s="422"/>
      <c r="CL13" s="422"/>
      <c r="CM13" s="422"/>
      <c r="CN13" s="422"/>
      <c r="CO13" s="422"/>
      <c r="CP13" s="422"/>
      <c r="CQ13" s="422"/>
      <c r="CR13" s="422"/>
      <c r="CS13" s="422"/>
      <c r="CT13" s="422"/>
      <c r="CU13" s="422"/>
      <c r="CV13" s="422"/>
      <c r="CW13" s="422"/>
      <c r="CX13" s="422"/>
      <c r="CY13" s="422"/>
      <c r="CZ13" s="422"/>
      <c r="DA13" s="422"/>
      <c r="DB13" s="422"/>
      <c r="DC13" s="422"/>
      <c r="DD13" s="422"/>
      <c r="DE13" s="422"/>
      <c r="DF13" s="422"/>
    </row>
    <row r="14" spans="1:110" s="423" customFormat="1" ht="12.75" customHeight="1" x14ac:dyDescent="0.2">
      <c r="A14" s="794" t="s">
        <v>419</v>
      </c>
      <c r="B14" s="425" t="s">
        <v>1650</v>
      </c>
      <c r="C14" s="437" t="s">
        <v>1143</v>
      </c>
      <c r="D14" s="427"/>
      <c r="E14" s="782" t="s">
        <v>1651</v>
      </c>
      <c r="F14" s="443" t="s">
        <v>1652</v>
      </c>
      <c r="G14" s="424"/>
      <c r="H14" s="424"/>
      <c r="I14" s="429"/>
      <c r="J14" s="429"/>
      <c r="K14" s="429"/>
      <c r="L14" s="429"/>
      <c r="M14" s="435"/>
      <c r="N14" s="435"/>
      <c r="O14" s="435"/>
      <c r="P14" s="429"/>
      <c r="Q14" s="429"/>
      <c r="R14" s="429"/>
      <c r="S14" s="429"/>
      <c r="T14" s="429"/>
      <c r="U14" s="429"/>
      <c r="V14" s="429"/>
      <c r="W14" s="429"/>
      <c r="X14" s="429"/>
      <c r="Y14" s="429"/>
      <c r="Z14" s="429"/>
      <c r="AA14" s="429"/>
      <c r="AB14" s="429"/>
      <c r="AC14" s="429"/>
      <c r="AD14" s="429"/>
      <c r="AE14" s="429"/>
      <c r="AF14" s="429"/>
      <c r="AG14" s="429"/>
      <c r="AH14" s="440">
        <v>1733</v>
      </c>
      <c r="AI14" s="440">
        <v>468</v>
      </c>
      <c r="AJ14" s="440">
        <f>SUM(AH14:AI14)</f>
        <v>2201</v>
      </c>
      <c r="AK14" s="441">
        <f t="shared" si="0"/>
        <v>0</v>
      </c>
      <c r="AL14" s="441">
        <f t="shared" si="0"/>
        <v>0</v>
      </c>
      <c r="AM14" s="441">
        <f t="shared" si="0"/>
        <v>0</v>
      </c>
      <c r="AN14" s="440">
        <v>1733</v>
      </c>
      <c r="AO14" s="440">
        <v>468</v>
      </c>
      <c r="AP14" s="442">
        <f t="shared" si="4"/>
        <v>2201</v>
      </c>
      <c r="AQ14" s="441">
        <f t="shared" si="1"/>
        <v>0</v>
      </c>
      <c r="AR14" s="441">
        <f t="shared" si="1"/>
        <v>0</v>
      </c>
      <c r="AS14" s="441">
        <f t="shared" si="1"/>
        <v>0</v>
      </c>
      <c r="AT14" s="442">
        <v>1733</v>
      </c>
      <c r="AU14" s="442">
        <v>468</v>
      </c>
      <c r="AV14" s="442">
        <f t="shared" si="5"/>
        <v>2201</v>
      </c>
      <c r="AW14" s="442"/>
      <c r="AX14" s="442"/>
      <c r="AY14" s="442"/>
      <c r="AZ14" s="442">
        <v>1733</v>
      </c>
      <c r="BA14" s="442">
        <v>468</v>
      </c>
      <c r="BB14" s="442">
        <v>2201</v>
      </c>
      <c r="BC14" s="442">
        <f t="shared" si="6"/>
        <v>-1733</v>
      </c>
      <c r="BD14" s="442">
        <f t="shared" si="6"/>
        <v>-468</v>
      </c>
      <c r="BE14" s="442">
        <f t="shared" si="6"/>
        <v>-2201</v>
      </c>
      <c r="BF14" s="442">
        <v>0</v>
      </c>
      <c r="BG14" s="442">
        <v>0</v>
      </c>
      <c r="BH14" s="442">
        <f>SUM(BF14:BG14)</f>
        <v>0</v>
      </c>
      <c r="BI14" s="789">
        <f>SUM(I14:I18)</f>
        <v>0</v>
      </c>
      <c r="BJ14" s="789">
        <f>SUM(L14:L18)</f>
        <v>0</v>
      </c>
      <c r="BK14" s="789">
        <f>SUM(O14:O18)</f>
        <v>0</v>
      </c>
      <c r="BL14" s="789">
        <f>SUM(R14:R18)</f>
        <v>0</v>
      </c>
      <c r="BM14" s="789">
        <f>SUM(U14:U18)</f>
        <v>0</v>
      </c>
      <c r="BN14" s="786">
        <f>SUM(AD14:AD18)</f>
        <v>0</v>
      </c>
      <c r="BO14" s="786">
        <f>SUM(AA14:AA18)</f>
        <v>0</v>
      </c>
      <c r="BP14" s="789"/>
      <c r="BQ14" s="789">
        <f>SUM(AG14:AG18)</f>
        <v>0</v>
      </c>
      <c r="BR14" s="797">
        <f>SUM(AJ14:AJ18)</f>
        <v>2540</v>
      </c>
      <c r="BS14" s="789">
        <f>SUM(AM14:AM18)</f>
        <v>0</v>
      </c>
      <c r="BT14" s="791">
        <f>SUM(AP14:AP18)</f>
        <v>2540</v>
      </c>
      <c r="BU14" s="789">
        <f>SUM(AS14:AS18)</f>
        <v>0</v>
      </c>
      <c r="BV14" s="791">
        <f>SUM(AV14:AV18)</f>
        <v>2540</v>
      </c>
      <c r="BW14" s="796">
        <f>SUM(BE14:BE18)</f>
        <v>-918</v>
      </c>
      <c r="BX14" s="796">
        <f>SUM(BB14:BB18)</f>
        <v>2540</v>
      </c>
      <c r="BY14" s="789"/>
      <c r="BZ14" s="791">
        <f>SUM(BH14:BH18)</f>
        <v>1622</v>
      </c>
      <c r="CA14" s="791">
        <f>SUM(BQ14,BZ14)</f>
        <v>1622</v>
      </c>
      <c r="CB14" s="431">
        <v>0</v>
      </c>
      <c r="CC14" s="431">
        <v>0</v>
      </c>
      <c r="CD14" s="791">
        <f>SUM(CC14:CC18)</f>
        <v>1622</v>
      </c>
      <c r="CE14" s="422"/>
      <c r="CF14" s="422"/>
      <c r="CG14" s="422"/>
      <c r="CH14" s="422"/>
      <c r="CI14" s="422"/>
      <c r="CJ14" s="422"/>
      <c r="CK14" s="422"/>
      <c r="CL14" s="422"/>
      <c r="CM14" s="422"/>
      <c r="CN14" s="422"/>
      <c r="CO14" s="422"/>
      <c r="CP14" s="422"/>
      <c r="CQ14" s="422"/>
      <c r="CR14" s="422"/>
      <c r="CS14" s="422"/>
      <c r="CT14" s="422"/>
      <c r="CU14" s="422"/>
      <c r="CV14" s="422"/>
      <c r="CW14" s="422"/>
      <c r="CX14" s="422"/>
      <c r="CY14" s="422"/>
      <c r="CZ14" s="422"/>
      <c r="DA14" s="422"/>
      <c r="DB14" s="422"/>
      <c r="DC14" s="422"/>
      <c r="DD14" s="422"/>
      <c r="DE14" s="422"/>
      <c r="DF14" s="422"/>
    </row>
    <row r="15" spans="1:110" s="423" customFormat="1" ht="12.75" customHeight="1" x14ac:dyDescent="0.2">
      <c r="A15" s="795"/>
      <c r="B15" s="425" t="s">
        <v>1653</v>
      </c>
      <c r="C15" s="436" t="s">
        <v>1084</v>
      </c>
      <c r="D15" s="427"/>
      <c r="E15" s="783"/>
      <c r="F15" s="428" t="s">
        <v>1654</v>
      </c>
      <c r="G15" s="424"/>
      <c r="H15" s="424"/>
      <c r="I15" s="429"/>
      <c r="J15" s="429"/>
      <c r="K15" s="429"/>
      <c r="L15" s="429"/>
      <c r="M15" s="435"/>
      <c r="N15" s="435"/>
      <c r="O15" s="435"/>
      <c r="P15" s="429"/>
      <c r="Q15" s="429"/>
      <c r="R15" s="429"/>
      <c r="S15" s="429"/>
      <c r="T15" s="429"/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40">
        <v>267</v>
      </c>
      <c r="AI15" s="440">
        <v>72</v>
      </c>
      <c r="AJ15" s="440">
        <f>SUM(AH15:AI15)</f>
        <v>339</v>
      </c>
      <c r="AK15" s="441">
        <f t="shared" si="0"/>
        <v>0</v>
      </c>
      <c r="AL15" s="441">
        <f t="shared" si="0"/>
        <v>0</v>
      </c>
      <c r="AM15" s="441">
        <f t="shared" si="0"/>
        <v>0</v>
      </c>
      <c r="AN15" s="440">
        <v>267</v>
      </c>
      <c r="AO15" s="440">
        <v>72</v>
      </c>
      <c r="AP15" s="442">
        <f t="shared" si="4"/>
        <v>339</v>
      </c>
      <c r="AQ15" s="441">
        <f t="shared" si="1"/>
        <v>0</v>
      </c>
      <c r="AR15" s="441">
        <f t="shared" si="1"/>
        <v>0</v>
      </c>
      <c r="AS15" s="441">
        <f t="shared" si="1"/>
        <v>0</v>
      </c>
      <c r="AT15" s="442">
        <v>267</v>
      </c>
      <c r="AU15" s="442">
        <v>72</v>
      </c>
      <c r="AV15" s="442">
        <f t="shared" si="5"/>
        <v>339</v>
      </c>
      <c r="AW15" s="442"/>
      <c r="AX15" s="442"/>
      <c r="AY15" s="442"/>
      <c r="AZ15" s="442">
        <v>267</v>
      </c>
      <c r="BA15" s="442">
        <v>72</v>
      </c>
      <c r="BB15" s="442">
        <v>339</v>
      </c>
      <c r="BC15" s="442">
        <f t="shared" si="6"/>
        <v>0</v>
      </c>
      <c r="BD15" s="442">
        <f t="shared" si="6"/>
        <v>0</v>
      </c>
      <c r="BE15" s="442">
        <f t="shared" si="6"/>
        <v>0</v>
      </c>
      <c r="BF15" s="442">
        <v>267</v>
      </c>
      <c r="BG15" s="442">
        <v>72</v>
      </c>
      <c r="BH15" s="442">
        <f t="shared" ref="BH15:BH18" si="7">SUM(BF15:BG15)</f>
        <v>339</v>
      </c>
      <c r="BI15" s="790"/>
      <c r="BJ15" s="790"/>
      <c r="BK15" s="790"/>
      <c r="BL15" s="790"/>
      <c r="BM15" s="790"/>
      <c r="BN15" s="787"/>
      <c r="BO15" s="787"/>
      <c r="BP15" s="790"/>
      <c r="BQ15" s="790"/>
      <c r="BR15" s="797"/>
      <c r="BS15" s="790"/>
      <c r="BT15" s="792"/>
      <c r="BU15" s="790"/>
      <c r="BV15" s="792"/>
      <c r="BW15" s="801"/>
      <c r="BX15" s="801"/>
      <c r="BY15" s="790"/>
      <c r="BZ15" s="790"/>
      <c r="CA15" s="792"/>
      <c r="CB15" s="431">
        <v>266730</v>
      </c>
      <c r="CC15" s="431">
        <v>339</v>
      </c>
      <c r="CD15" s="792"/>
      <c r="CE15" s="422"/>
      <c r="CF15" s="422"/>
      <c r="CG15" s="422"/>
      <c r="CH15" s="422"/>
      <c r="CI15" s="422"/>
      <c r="CJ15" s="422"/>
      <c r="CK15" s="422"/>
      <c r="CL15" s="422"/>
      <c r="CM15" s="422"/>
      <c r="CN15" s="422"/>
      <c r="CO15" s="422"/>
      <c r="CP15" s="422"/>
      <c r="CQ15" s="422"/>
      <c r="CR15" s="422"/>
      <c r="CS15" s="422"/>
      <c r="CT15" s="422"/>
      <c r="CU15" s="422"/>
      <c r="CV15" s="422"/>
      <c r="CW15" s="422"/>
      <c r="CX15" s="422"/>
      <c r="CY15" s="422"/>
      <c r="CZ15" s="422"/>
      <c r="DA15" s="422"/>
      <c r="DB15" s="422"/>
      <c r="DC15" s="422"/>
      <c r="DD15" s="422"/>
      <c r="DE15" s="422"/>
      <c r="DF15" s="422"/>
    </row>
    <row r="16" spans="1:110" s="423" customFormat="1" ht="14.25" customHeight="1" x14ac:dyDescent="0.2">
      <c r="A16" s="795"/>
      <c r="B16" s="425" t="s">
        <v>1650</v>
      </c>
      <c r="C16" s="436" t="s">
        <v>1655</v>
      </c>
      <c r="D16" s="427"/>
      <c r="E16" s="783"/>
      <c r="F16" s="428" t="s">
        <v>1656</v>
      </c>
      <c r="G16" s="424"/>
      <c r="H16" s="424"/>
      <c r="I16" s="429"/>
      <c r="J16" s="429"/>
      <c r="K16" s="429"/>
      <c r="L16" s="429"/>
      <c r="M16" s="435"/>
      <c r="N16" s="435"/>
      <c r="O16" s="435"/>
      <c r="P16" s="429"/>
      <c r="Q16" s="429"/>
      <c r="R16" s="429"/>
      <c r="S16" s="429"/>
      <c r="T16" s="429"/>
      <c r="U16" s="429"/>
      <c r="V16" s="429"/>
      <c r="W16" s="429"/>
      <c r="X16" s="429"/>
      <c r="Y16" s="429"/>
      <c r="Z16" s="429"/>
      <c r="AA16" s="429"/>
      <c r="AB16" s="429"/>
      <c r="AC16" s="429"/>
      <c r="AD16" s="429"/>
      <c r="AE16" s="429"/>
      <c r="AF16" s="429"/>
      <c r="AG16" s="429"/>
      <c r="AH16" s="440"/>
      <c r="AI16" s="440"/>
      <c r="AJ16" s="440"/>
      <c r="AK16" s="441"/>
      <c r="AL16" s="441"/>
      <c r="AM16" s="441"/>
      <c r="AN16" s="440"/>
      <c r="AO16" s="440"/>
      <c r="AP16" s="442"/>
      <c r="AQ16" s="441"/>
      <c r="AR16" s="441"/>
      <c r="AS16" s="441"/>
      <c r="AT16" s="442"/>
      <c r="AU16" s="442"/>
      <c r="AV16" s="442"/>
      <c r="AW16" s="442"/>
      <c r="AX16" s="442"/>
      <c r="AY16" s="442"/>
      <c r="AZ16" s="442"/>
      <c r="BA16" s="442"/>
      <c r="BB16" s="442"/>
      <c r="BC16" s="442">
        <f t="shared" si="6"/>
        <v>553</v>
      </c>
      <c r="BD16" s="442">
        <f t="shared" si="6"/>
        <v>149</v>
      </c>
      <c r="BE16" s="442">
        <f t="shared" si="6"/>
        <v>702</v>
      </c>
      <c r="BF16" s="442">
        <v>553</v>
      </c>
      <c r="BG16" s="442">
        <v>149</v>
      </c>
      <c r="BH16" s="442">
        <f t="shared" si="7"/>
        <v>702</v>
      </c>
      <c r="BI16" s="790"/>
      <c r="BJ16" s="790"/>
      <c r="BK16" s="790"/>
      <c r="BL16" s="790"/>
      <c r="BM16" s="790"/>
      <c r="BN16" s="787"/>
      <c r="BO16" s="787"/>
      <c r="BP16" s="790"/>
      <c r="BQ16" s="790"/>
      <c r="BR16" s="797"/>
      <c r="BS16" s="790"/>
      <c r="BT16" s="792"/>
      <c r="BU16" s="790"/>
      <c r="BV16" s="792"/>
      <c r="BW16" s="801"/>
      <c r="BX16" s="801"/>
      <c r="BY16" s="790"/>
      <c r="BZ16" s="790"/>
      <c r="CA16" s="792"/>
      <c r="CB16" s="431">
        <v>552890</v>
      </c>
      <c r="CC16" s="431">
        <v>702</v>
      </c>
      <c r="CD16" s="792"/>
      <c r="CE16" s="422"/>
      <c r="CF16" s="422"/>
      <c r="CG16" s="422"/>
      <c r="CH16" s="422"/>
      <c r="CI16" s="422"/>
      <c r="CJ16" s="422"/>
      <c r="CK16" s="422"/>
      <c r="CL16" s="422"/>
      <c r="CM16" s="422"/>
      <c r="CN16" s="422"/>
      <c r="CO16" s="422"/>
      <c r="CP16" s="422"/>
      <c r="CQ16" s="422"/>
      <c r="CR16" s="422"/>
      <c r="CS16" s="422"/>
      <c r="CT16" s="422"/>
      <c r="CU16" s="422"/>
      <c r="CV16" s="422"/>
      <c r="CW16" s="422"/>
      <c r="CX16" s="422"/>
      <c r="CY16" s="422"/>
      <c r="CZ16" s="422"/>
      <c r="DA16" s="422"/>
      <c r="DB16" s="422"/>
      <c r="DC16" s="422"/>
      <c r="DD16" s="422"/>
      <c r="DE16" s="422"/>
      <c r="DF16" s="422"/>
    </row>
    <row r="17" spans="1:110" s="423" customFormat="1" ht="13.5" customHeight="1" x14ac:dyDescent="0.2">
      <c r="A17" s="795"/>
      <c r="B17" s="425" t="s">
        <v>1650</v>
      </c>
      <c r="C17" s="436" t="s">
        <v>1657</v>
      </c>
      <c r="D17" s="427"/>
      <c r="E17" s="783"/>
      <c r="F17" s="428" t="s">
        <v>1658</v>
      </c>
      <c r="G17" s="424"/>
      <c r="H17" s="424"/>
      <c r="I17" s="429"/>
      <c r="J17" s="429"/>
      <c r="K17" s="429"/>
      <c r="L17" s="429"/>
      <c r="M17" s="435"/>
      <c r="N17" s="435"/>
      <c r="O17" s="435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29"/>
      <c r="AB17" s="429"/>
      <c r="AC17" s="429"/>
      <c r="AD17" s="429"/>
      <c r="AE17" s="429"/>
      <c r="AF17" s="429"/>
      <c r="AG17" s="429"/>
      <c r="AH17" s="440"/>
      <c r="AI17" s="440"/>
      <c r="AJ17" s="440"/>
      <c r="AK17" s="441"/>
      <c r="AL17" s="441"/>
      <c r="AM17" s="441"/>
      <c r="AN17" s="440"/>
      <c r="AO17" s="440"/>
      <c r="AP17" s="442"/>
      <c r="AQ17" s="441"/>
      <c r="AR17" s="441"/>
      <c r="AS17" s="441"/>
      <c r="AT17" s="442"/>
      <c r="AU17" s="442"/>
      <c r="AV17" s="442"/>
      <c r="AW17" s="442"/>
      <c r="AX17" s="442"/>
      <c r="AY17" s="442"/>
      <c r="AZ17" s="442"/>
      <c r="BA17" s="442"/>
      <c r="BB17" s="442"/>
      <c r="BC17" s="442">
        <f t="shared" si="6"/>
        <v>232</v>
      </c>
      <c r="BD17" s="442">
        <f t="shared" si="6"/>
        <v>62</v>
      </c>
      <c r="BE17" s="442">
        <f t="shared" si="6"/>
        <v>294</v>
      </c>
      <c r="BF17" s="442">
        <v>232</v>
      </c>
      <c r="BG17" s="442">
        <v>62</v>
      </c>
      <c r="BH17" s="442">
        <f t="shared" si="7"/>
        <v>294</v>
      </c>
      <c r="BI17" s="790"/>
      <c r="BJ17" s="790"/>
      <c r="BK17" s="790"/>
      <c r="BL17" s="790"/>
      <c r="BM17" s="790"/>
      <c r="BN17" s="787"/>
      <c r="BO17" s="787"/>
      <c r="BP17" s="790"/>
      <c r="BQ17" s="790"/>
      <c r="BR17" s="797"/>
      <c r="BS17" s="790"/>
      <c r="BT17" s="792"/>
      <c r="BU17" s="790"/>
      <c r="BV17" s="792"/>
      <c r="BW17" s="801"/>
      <c r="BX17" s="801"/>
      <c r="BY17" s="790"/>
      <c r="BZ17" s="790"/>
      <c r="CA17" s="792"/>
      <c r="CB17" s="431">
        <v>231840</v>
      </c>
      <c r="CC17" s="431">
        <v>294</v>
      </c>
      <c r="CD17" s="792"/>
      <c r="CE17" s="422"/>
      <c r="CF17" s="422"/>
      <c r="CG17" s="422"/>
      <c r="CH17" s="422"/>
      <c r="CI17" s="422"/>
      <c r="CJ17" s="422"/>
      <c r="CK17" s="422"/>
      <c r="CL17" s="422"/>
      <c r="CM17" s="422"/>
      <c r="CN17" s="422"/>
      <c r="CO17" s="422"/>
      <c r="CP17" s="422"/>
      <c r="CQ17" s="422"/>
      <c r="CR17" s="422"/>
      <c r="CS17" s="422"/>
      <c r="CT17" s="422"/>
      <c r="CU17" s="422"/>
      <c r="CV17" s="422"/>
      <c r="CW17" s="422"/>
      <c r="CX17" s="422"/>
      <c r="CY17" s="422"/>
      <c r="CZ17" s="422"/>
      <c r="DA17" s="422"/>
      <c r="DB17" s="422"/>
      <c r="DC17" s="422"/>
      <c r="DD17" s="422"/>
      <c r="DE17" s="422"/>
      <c r="DF17" s="422"/>
    </row>
    <row r="18" spans="1:110" s="423" customFormat="1" ht="15.75" customHeight="1" x14ac:dyDescent="0.2">
      <c r="A18" s="795"/>
      <c r="B18" s="425" t="s">
        <v>1650</v>
      </c>
      <c r="C18" s="436" t="s">
        <v>1659</v>
      </c>
      <c r="D18" s="427"/>
      <c r="E18" s="783"/>
      <c r="F18" s="428" t="s">
        <v>1660</v>
      </c>
      <c r="G18" s="424"/>
      <c r="H18" s="424"/>
      <c r="I18" s="429"/>
      <c r="J18" s="429"/>
      <c r="K18" s="429"/>
      <c r="L18" s="429"/>
      <c r="M18" s="435"/>
      <c r="N18" s="435"/>
      <c r="O18" s="435"/>
      <c r="P18" s="429"/>
      <c r="Q18" s="429"/>
      <c r="R18" s="429"/>
      <c r="S18" s="429"/>
      <c r="T18" s="429"/>
      <c r="U18" s="429"/>
      <c r="V18" s="429"/>
      <c r="W18" s="429"/>
      <c r="X18" s="429"/>
      <c r="Y18" s="429"/>
      <c r="Z18" s="429"/>
      <c r="AA18" s="429"/>
      <c r="AB18" s="429"/>
      <c r="AC18" s="429"/>
      <c r="AD18" s="429"/>
      <c r="AE18" s="429"/>
      <c r="AF18" s="429"/>
      <c r="AG18" s="429"/>
      <c r="AH18" s="440"/>
      <c r="AI18" s="440"/>
      <c r="AJ18" s="440"/>
      <c r="AK18" s="441"/>
      <c r="AL18" s="441"/>
      <c r="AM18" s="441"/>
      <c r="AN18" s="440"/>
      <c r="AO18" s="440"/>
      <c r="AP18" s="442"/>
      <c r="AQ18" s="441"/>
      <c r="AR18" s="441"/>
      <c r="AS18" s="441"/>
      <c r="AT18" s="442"/>
      <c r="AU18" s="442"/>
      <c r="AV18" s="442"/>
      <c r="AW18" s="442"/>
      <c r="AX18" s="442"/>
      <c r="AY18" s="442"/>
      <c r="AZ18" s="442"/>
      <c r="BA18" s="442"/>
      <c r="BB18" s="442"/>
      <c r="BC18" s="442">
        <f t="shared" si="6"/>
        <v>226</v>
      </c>
      <c r="BD18" s="442">
        <f t="shared" si="6"/>
        <v>61</v>
      </c>
      <c r="BE18" s="442">
        <f t="shared" si="6"/>
        <v>287</v>
      </c>
      <c r="BF18" s="442">
        <v>226</v>
      </c>
      <c r="BG18" s="442">
        <v>61</v>
      </c>
      <c r="BH18" s="442">
        <f t="shared" si="7"/>
        <v>287</v>
      </c>
      <c r="BI18" s="790"/>
      <c r="BJ18" s="790"/>
      <c r="BK18" s="790"/>
      <c r="BL18" s="790"/>
      <c r="BM18" s="790"/>
      <c r="BN18" s="787"/>
      <c r="BO18" s="787"/>
      <c r="BP18" s="790"/>
      <c r="BQ18" s="790"/>
      <c r="BR18" s="797"/>
      <c r="BS18" s="790"/>
      <c r="BT18" s="792"/>
      <c r="BU18" s="790"/>
      <c r="BV18" s="792"/>
      <c r="BW18" s="801"/>
      <c r="BX18" s="801"/>
      <c r="BY18" s="790"/>
      <c r="BZ18" s="790"/>
      <c r="CA18" s="792"/>
      <c r="CB18" s="431">
        <v>225610</v>
      </c>
      <c r="CC18" s="431">
        <v>287</v>
      </c>
      <c r="CD18" s="793"/>
      <c r="CE18" s="422"/>
      <c r="CF18" s="422"/>
      <c r="CG18" s="422"/>
      <c r="CH18" s="422"/>
      <c r="CI18" s="422"/>
      <c r="CJ18" s="422"/>
      <c r="CK18" s="422"/>
      <c r="CL18" s="422"/>
      <c r="CM18" s="422"/>
      <c r="CN18" s="422"/>
      <c r="CO18" s="422"/>
      <c r="CP18" s="422"/>
      <c r="CQ18" s="422"/>
      <c r="CR18" s="422"/>
      <c r="CS18" s="422"/>
      <c r="CT18" s="422"/>
      <c r="CU18" s="422"/>
      <c r="CV18" s="422"/>
      <c r="CW18" s="422"/>
      <c r="CX18" s="422"/>
      <c r="CY18" s="422"/>
      <c r="CZ18" s="422"/>
      <c r="DA18" s="422"/>
      <c r="DB18" s="422"/>
      <c r="DC18" s="422"/>
      <c r="DD18" s="422"/>
      <c r="DE18" s="422"/>
      <c r="DF18" s="422"/>
    </row>
    <row r="19" spans="1:110" s="423" customFormat="1" ht="22.5" x14ac:dyDescent="0.2">
      <c r="A19" s="794" t="s">
        <v>422</v>
      </c>
      <c r="B19" s="425" t="s">
        <v>1661</v>
      </c>
      <c r="C19" s="436" t="s">
        <v>1111</v>
      </c>
      <c r="D19" s="427" t="s">
        <v>1055</v>
      </c>
      <c r="E19" s="427" t="s">
        <v>1731</v>
      </c>
      <c r="F19" s="428" t="s">
        <v>1662</v>
      </c>
      <c r="G19" s="424"/>
      <c r="H19" s="424"/>
      <c r="I19" s="429"/>
      <c r="J19" s="429"/>
      <c r="K19" s="429"/>
      <c r="L19" s="429"/>
      <c r="M19" s="435"/>
      <c r="N19" s="435"/>
      <c r="O19" s="435"/>
      <c r="P19" s="429"/>
      <c r="Q19" s="429"/>
      <c r="R19" s="429"/>
      <c r="S19" s="429"/>
      <c r="T19" s="429"/>
      <c r="U19" s="429"/>
      <c r="V19" s="429"/>
      <c r="W19" s="429"/>
      <c r="X19" s="429"/>
      <c r="Y19" s="429"/>
      <c r="Z19" s="429"/>
      <c r="AA19" s="429"/>
      <c r="AB19" s="442">
        <f t="shared" ref="AB19:AD34" si="8">AE19-S19</f>
        <v>890</v>
      </c>
      <c r="AC19" s="442">
        <f t="shared" si="8"/>
        <v>0</v>
      </c>
      <c r="AD19" s="442">
        <f t="shared" si="8"/>
        <v>890</v>
      </c>
      <c r="AE19" s="441">
        <v>890</v>
      </c>
      <c r="AF19" s="441"/>
      <c r="AG19" s="441">
        <f t="shared" ref="AG19" si="9">SUM(AE19:AF19)</f>
        <v>890</v>
      </c>
      <c r="AH19" s="440"/>
      <c r="AI19" s="440"/>
      <c r="AJ19" s="440"/>
      <c r="AK19" s="441"/>
      <c r="AL19" s="441"/>
      <c r="AM19" s="441"/>
      <c r="AN19" s="440"/>
      <c r="AO19" s="440"/>
      <c r="AP19" s="442"/>
      <c r="AQ19" s="441"/>
      <c r="AR19" s="441"/>
      <c r="AS19" s="441"/>
      <c r="AT19" s="442"/>
      <c r="AU19" s="442"/>
      <c r="AV19" s="442"/>
      <c r="AW19" s="442"/>
      <c r="AX19" s="442"/>
      <c r="AY19" s="442"/>
      <c r="AZ19" s="442"/>
      <c r="BA19" s="442"/>
      <c r="BB19" s="442"/>
      <c r="BC19" s="442"/>
      <c r="BD19" s="442"/>
      <c r="BE19" s="442"/>
      <c r="BF19" s="442"/>
      <c r="BG19" s="442"/>
      <c r="BH19" s="442"/>
      <c r="BI19" s="799">
        <f>SUM(I19:I20)</f>
        <v>0</v>
      </c>
      <c r="BJ19" s="799"/>
      <c r="BK19" s="799"/>
      <c r="BL19" s="799"/>
      <c r="BM19" s="799"/>
      <c r="BN19" s="799"/>
      <c r="BO19" s="799">
        <f>SUM(AA19:AA20)</f>
        <v>737</v>
      </c>
      <c r="BP19" s="799"/>
      <c r="BQ19" s="799">
        <f>SUM(AG19:AG20)</f>
        <v>1627</v>
      </c>
      <c r="BR19" s="802">
        <f>SUM(AJ19:AJ20)</f>
        <v>0</v>
      </c>
      <c r="BS19" s="799"/>
      <c r="BT19" s="799"/>
      <c r="BU19" s="799"/>
      <c r="BV19" s="799"/>
      <c r="BW19" s="799"/>
      <c r="BX19" s="802">
        <f>SUM(BB19:BB20)</f>
        <v>0</v>
      </c>
      <c r="BY19" s="799"/>
      <c r="BZ19" s="802">
        <f>SUM(BH19:BH20)</f>
        <v>0</v>
      </c>
      <c r="CA19" s="802">
        <f>SUM(BQ19,BZ19)</f>
        <v>1627</v>
      </c>
      <c r="CB19" s="431">
        <v>890000</v>
      </c>
      <c r="CC19" s="431">
        <v>890</v>
      </c>
      <c r="CD19" s="802">
        <f>SUM(CC19:CC20)</f>
        <v>1627</v>
      </c>
      <c r="CE19" s="422"/>
      <c r="CF19" s="422"/>
      <c r="CG19" s="422"/>
      <c r="CH19" s="422"/>
      <c r="CI19" s="422"/>
      <c r="CJ19" s="422"/>
      <c r="CK19" s="422"/>
      <c r="CL19" s="422"/>
      <c r="CM19" s="422"/>
      <c r="CN19" s="422"/>
      <c r="CO19" s="422"/>
      <c r="CP19" s="422"/>
      <c r="CQ19" s="422"/>
      <c r="CR19" s="422"/>
      <c r="CS19" s="422"/>
      <c r="CT19" s="422"/>
      <c r="CU19" s="422"/>
      <c r="CV19" s="422"/>
      <c r="CW19" s="422"/>
      <c r="CX19" s="422"/>
      <c r="CY19" s="422"/>
      <c r="CZ19" s="422"/>
      <c r="DA19" s="422"/>
      <c r="DB19" s="422"/>
      <c r="DC19" s="422"/>
      <c r="DD19" s="422"/>
      <c r="DE19" s="422"/>
      <c r="DF19" s="422"/>
    </row>
    <row r="20" spans="1:110" ht="22.5" x14ac:dyDescent="0.2">
      <c r="A20" s="798"/>
      <c r="B20" s="425" t="s">
        <v>1639</v>
      </c>
      <c r="C20" s="426" t="s">
        <v>1110</v>
      </c>
      <c r="D20" s="444"/>
      <c r="E20" s="427" t="s">
        <v>1732</v>
      </c>
      <c r="F20" s="428" t="s">
        <v>1663</v>
      </c>
      <c r="G20" s="430"/>
      <c r="H20" s="430"/>
      <c r="I20" s="440"/>
      <c r="J20" s="440">
        <f t="shared" ref="J20:L29" si="10">M20-G20</f>
        <v>580</v>
      </c>
      <c r="K20" s="440">
        <f t="shared" si="10"/>
        <v>157</v>
      </c>
      <c r="L20" s="440">
        <f t="shared" si="10"/>
        <v>737</v>
      </c>
      <c r="M20" s="440">
        <v>580</v>
      </c>
      <c r="N20" s="440">
        <v>157</v>
      </c>
      <c r="O20" s="440">
        <f>SUM(M20:N20)</f>
        <v>737</v>
      </c>
      <c r="P20" s="440">
        <f>S20-M20</f>
        <v>0</v>
      </c>
      <c r="Q20" s="440">
        <f t="shared" ref="Q20:R20" si="11">T20-N20</f>
        <v>0</v>
      </c>
      <c r="R20" s="440">
        <f t="shared" si="11"/>
        <v>0</v>
      </c>
      <c r="S20" s="440">
        <v>580</v>
      </c>
      <c r="T20" s="440">
        <v>157</v>
      </c>
      <c r="U20" s="440">
        <f>SUM(S20:T20)</f>
        <v>737</v>
      </c>
      <c r="V20" s="440"/>
      <c r="W20" s="440"/>
      <c r="X20" s="440"/>
      <c r="Y20" s="440">
        <v>580</v>
      </c>
      <c r="Z20" s="440">
        <v>157</v>
      </c>
      <c r="AA20" s="440">
        <v>737</v>
      </c>
      <c r="AB20" s="440">
        <f t="shared" si="8"/>
        <v>0</v>
      </c>
      <c r="AC20" s="440">
        <f t="shared" si="8"/>
        <v>0</v>
      </c>
      <c r="AD20" s="440">
        <f t="shared" si="8"/>
        <v>0</v>
      </c>
      <c r="AE20" s="440">
        <v>580</v>
      </c>
      <c r="AF20" s="440">
        <v>157</v>
      </c>
      <c r="AG20" s="440">
        <f>SUM(AE20:AF20)</f>
        <v>737</v>
      </c>
      <c r="AH20" s="430"/>
      <c r="AI20" s="430"/>
      <c r="AJ20" s="430"/>
      <c r="AK20" s="430"/>
      <c r="AL20" s="430"/>
      <c r="AM20" s="430"/>
      <c r="AN20" s="430"/>
      <c r="AO20" s="430"/>
      <c r="AP20" s="430"/>
      <c r="AQ20" s="430"/>
      <c r="AR20" s="430"/>
      <c r="AS20" s="430"/>
      <c r="AT20" s="430"/>
      <c r="AU20" s="430"/>
      <c r="AV20" s="430"/>
      <c r="AW20" s="430"/>
      <c r="AX20" s="430"/>
      <c r="AY20" s="430"/>
      <c r="AZ20" s="430"/>
      <c r="BA20" s="430"/>
      <c r="BB20" s="430"/>
      <c r="BC20" s="430"/>
      <c r="BD20" s="430"/>
      <c r="BE20" s="430"/>
      <c r="BF20" s="430"/>
      <c r="BG20" s="430"/>
      <c r="BH20" s="430"/>
      <c r="BI20" s="800"/>
      <c r="BJ20" s="800"/>
      <c r="BK20" s="800"/>
      <c r="BL20" s="800"/>
      <c r="BM20" s="800"/>
      <c r="BN20" s="800"/>
      <c r="BO20" s="800"/>
      <c r="BP20" s="800"/>
      <c r="BQ20" s="800"/>
      <c r="BR20" s="800"/>
      <c r="BS20" s="800"/>
      <c r="BT20" s="800"/>
      <c r="BU20" s="800"/>
      <c r="BV20" s="800"/>
      <c r="BW20" s="800"/>
      <c r="BX20" s="800"/>
      <c r="BY20" s="800"/>
      <c r="BZ20" s="800"/>
      <c r="CA20" s="803"/>
      <c r="CB20" s="431">
        <v>580000</v>
      </c>
      <c r="CC20" s="431">
        <v>737</v>
      </c>
      <c r="CD20" s="804"/>
    </row>
    <row r="21" spans="1:110" s="423" customFormat="1" ht="21" customHeight="1" x14ac:dyDescent="0.2">
      <c r="A21" s="794" t="s">
        <v>432</v>
      </c>
      <c r="B21" s="425" t="s">
        <v>1639</v>
      </c>
      <c r="C21" s="437" t="s">
        <v>1143</v>
      </c>
      <c r="D21" s="445"/>
      <c r="E21" s="782" t="s">
        <v>1085</v>
      </c>
      <c r="F21" s="446" t="s">
        <v>1664</v>
      </c>
      <c r="G21" s="432">
        <v>31496</v>
      </c>
      <c r="H21" s="432">
        <v>8504</v>
      </c>
      <c r="I21" s="440">
        <f>SUM(G21:H21)</f>
        <v>40000</v>
      </c>
      <c r="J21" s="442">
        <f t="shared" si="10"/>
        <v>-80</v>
      </c>
      <c r="K21" s="442">
        <f t="shared" si="10"/>
        <v>-22</v>
      </c>
      <c r="L21" s="442">
        <f t="shared" si="10"/>
        <v>-102</v>
      </c>
      <c r="M21" s="442">
        <f>G21-SUM(M22)</f>
        <v>31416</v>
      </c>
      <c r="N21" s="442">
        <f>H21-SUM(N22)</f>
        <v>8482</v>
      </c>
      <c r="O21" s="442">
        <f>I21-SUM(O22)</f>
        <v>39898</v>
      </c>
      <c r="P21" s="442">
        <f t="shared" ref="P21:R29" si="12">S21-M21</f>
        <v>-80</v>
      </c>
      <c r="Q21" s="442">
        <f t="shared" si="12"/>
        <v>-22</v>
      </c>
      <c r="R21" s="442">
        <f t="shared" si="12"/>
        <v>-102</v>
      </c>
      <c r="S21" s="442">
        <f>M21-SUM(S22)</f>
        <v>31336</v>
      </c>
      <c r="T21" s="442">
        <f>N21-SUM(T22)</f>
        <v>8460</v>
      </c>
      <c r="U21" s="442">
        <f>O21-SUM(U22)</f>
        <v>39796</v>
      </c>
      <c r="V21" s="442"/>
      <c r="W21" s="442"/>
      <c r="X21" s="442"/>
      <c r="Y21" s="442">
        <v>31336</v>
      </c>
      <c r="Z21" s="442">
        <v>8460</v>
      </c>
      <c r="AA21" s="442">
        <v>39796</v>
      </c>
      <c r="AB21" s="442">
        <f t="shared" si="8"/>
        <v>-31336</v>
      </c>
      <c r="AC21" s="442">
        <f t="shared" si="8"/>
        <v>-8460</v>
      </c>
      <c r="AD21" s="442">
        <f t="shared" si="8"/>
        <v>-39796</v>
      </c>
      <c r="AE21" s="442">
        <v>0</v>
      </c>
      <c r="AF21" s="442">
        <v>0</v>
      </c>
      <c r="AG21" s="442">
        <f>SUM(AE21:AF21)</f>
        <v>0</v>
      </c>
      <c r="AH21" s="440"/>
      <c r="AI21" s="440"/>
      <c r="AJ21" s="440"/>
      <c r="AK21" s="447"/>
      <c r="AL21" s="447"/>
      <c r="AM21" s="447"/>
      <c r="AN21" s="447"/>
      <c r="AO21" s="447"/>
      <c r="AP21" s="447"/>
      <c r="AQ21" s="447"/>
      <c r="AR21" s="447"/>
      <c r="AS21" s="447"/>
      <c r="AT21" s="447"/>
      <c r="AU21" s="447"/>
      <c r="AV21" s="447"/>
      <c r="AW21" s="447"/>
      <c r="AX21" s="447"/>
      <c r="AY21" s="447"/>
      <c r="AZ21" s="447"/>
      <c r="BA21" s="447"/>
      <c r="BB21" s="447"/>
      <c r="BC21" s="447"/>
      <c r="BD21" s="447"/>
      <c r="BE21" s="447"/>
      <c r="BF21" s="447"/>
      <c r="BG21" s="447"/>
      <c r="BH21" s="447"/>
      <c r="BI21" s="791">
        <f>SUM(I21:I22)</f>
        <v>40000</v>
      </c>
      <c r="BJ21" s="791">
        <f>SUM(L21:L22)</f>
        <v>0</v>
      </c>
      <c r="BK21" s="791">
        <f>SUM(O21:O22)</f>
        <v>40000</v>
      </c>
      <c r="BL21" s="791">
        <f>SUM(R21:R22)</f>
        <v>-102</v>
      </c>
      <c r="BM21" s="791">
        <f>SUM(U21:U22)</f>
        <v>39898</v>
      </c>
      <c r="BN21" s="796">
        <f>SUM(AD21:AD22)</f>
        <v>-39898</v>
      </c>
      <c r="BO21" s="796">
        <f>SUM(AA21:AA22)</f>
        <v>39898</v>
      </c>
      <c r="BP21" s="786"/>
      <c r="BQ21" s="796">
        <f>SUM(AG21:AG22)</f>
        <v>0</v>
      </c>
      <c r="BR21" s="791">
        <f>SUM(AJ21:AJ22)</f>
        <v>0</v>
      </c>
      <c r="BS21" s="791">
        <f>SUM(AJ21:AJ22)</f>
        <v>0</v>
      </c>
      <c r="BT21" s="789">
        <f>SUM(AP21:AP22)</f>
        <v>0</v>
      </c>
      <c r="BU21" s="789">
        <f>SUM(AS21:AS22)</f>
        <v>0</v>
      </c>
      <c r="BV21" s="789">
        <f>SUM(AV21:AV22)</f>
        <v>0</v>
      </c>
      <c r="BW21" s="796">
        <f>SUM(BE21:BE22)</f>
        <v>0</v>
      </c>
      <c r="BX21" s="796">
        <f>SUM(BB21:BB22)</f>
        <v>0</v>
      </c>
      <c r="BY21" s="786"/>
      <c r="BZ21" s="786">
        <f>SUM(BH21:BH22)</f>
        <v>0</v>
      </c>
      <c r="CA21" s="791">
        <f>SUM(BQ21,BZ21)</f>
        <v>0</v>
      </c>
      <c r="CB21" s="431">
        <v>0</v>
      </c>
      <c r="CC21" s="431">
        <v>0</v>
      </c>
      <c r="CD21" s="802">
        <f>SUM(CC21:CC22)</f>
        <v>0</v>
      </c>
      <c r="CE21" s="422"/>
      <c r="CF21" s="422"/>
      <c r="CG21" s="422"/>
      <c r="CH21" s="422"/>
      <c r="CI21" s="422"/>
      <c r="CJ21" s="422"/>
      <c r="CK21" s="422"/>
      <c r="CL21" s="422"/>
      <c r="CM21" s="422"/>
      <c r="CN21" s="422"/>
      <c r="CO21" s="422"/>
      <c r="CP21" s="422"/>
      <c r="CQ21" s="422"/>
      <c r="CR21" s="422"/>
      <c r="CS21" s="422"/>
      <c r="CT21" s="422"/>
      <c r="CU21" s="422"/>
      <c r="CV21" s="422"/>
      <c r="CW21" s="422"/>
      <c r="CX21" s="422"/>
      <c r="CY21" s="422"/>
      <c r="CZ21" s="422"/>
      <c r="DA21" s="422"/>
      <c r="DB21" s="422"/>
      <c r="DC21" s="422"/>
      <c r="DD21" s="422"/>
      <c r="DE21" s="422"/>
      <c r="DF21" s="422"/>
    </row>
    <row r="22" spans="1:110" s="423" customFormat="1" ht="27" customHeight="1" x14ac:dyDescent="0.2">
      <c r="A22" s="798"/>
      <c r="B22" s="425" t="s">
        <v>1665</v>
      </c>
      <c r="C22" s="426" t="s">
        <v>1086</v>
      </c>
      <c r="D22" s="427"/>
      <c r="E22" s="783"/>
      <c r="F22" s="428" t="s">
        <v>1087</v>
      </c>
      <c r="G22" s="430"/>
      <c r="H22" s="430"/>
      <c r="I22" s="440"/>
      <c r="J22" s="442">
        <f t="shared" si="10"/>
        <v>80</v>
      </c>
      <c r="K22" s="442">
        <f t="shared" si="10"/>
        <v>22</v>
      </c>
      <c r="L22" s="442">
        <f t="shared" si="10"/>
        <v>102</v>
      </c>
      <c r="M22" s="441">
        <v>80</v>
      </c>
      <c r="N22" s="441">
        <v>22</v>
      </c>
      <c r="O22" s="441">
        <f t="shared" ref="O22:O29" si="13">SUM(M22:N22)</f>
        <v>102</v>
      </c>
      <c r="P22" s="442">
        <f t="shared" si="12"/>
        <v>0</v>
      </c>
      <c r="Q22" s="442">
        <f t="shared" si="12"/>
        <v>0</v>
      </c>
      <c r="R22" s="442">
        <f t="shared" si="12"/>
        <v>0</v>
      </c>
      <c r="S22" s="441">
        <v>80</v>
      </c>
      <c r="T22" s="441">
        <v>22</v>
      </c>
      <c r="U22" s="441">
        <f t="shared" ref="U22:U29" si="14">SUM(S22:T22)</f>
        <v>102</v>
      </c>
      <c r="V22" s="441"/>
      <c r="W22" s="441"/>
      <c r="X22" s="441"/>
      <c r="Y22" s="441">
        <v>80</v>
      </c>
      <c r="Z22" s="441">
        <v>22</v>
      </c>
      <c r="AA22" s="441">
        <v>102</v>
      </c>
      <c r="AB22" s="442">
        <f t="shared" si="8"/>
        <v>-80</v>
      </c>
      <c r="AC22" s="442">
        <f t="shared" si="8"/>
        <v>-22</v>
      </c>
      <c r="AD22" s="442">
        <f t="shared" si="8"/>
        <v>-102</v>
      </c>
      <c r="AE22" s="441">
        <v>0</v>
      </c>
      <c r="AF22" s="441">
        <v>0</v>
      </c>
      <c r="AG22" s="441">
        <f t="shared" ref="AG22:AG42" si="15">SUM(AE22:AF22)</f>
        <v>0</v>
      </c>
      <c r="AH22" s="440"/>
      <c r="AI22" s="440"/>
      <c r="AJ22" s="440"/>
      <c r="AK22" s="447"/>
      <c r="AL22" s="447"/>
      <c r="AM22" s="447"/>
      <c r="AN22" s="447"/>
      <c r="AO22" s="447"/>
      <c r="AP22" s="447"/>
      <c r="AQ22" s="447"/>
      <c r="AR22" s="447"/>
      <c r="AS22" s="447"/>
      <c r="AT22" s="447"/>
      <c r="AU22" s="447"/>
      <c r="AV22" s="447"/>
      <c r="AW22" s="447"/>
      <c r="AX22" s="447"/>
      <c r="AY22" s="447"/>
      <c r="AZ22" s="447"/>
      <c r="BA22" s="447"/>
      <c r="BB22" s="447"/>
      <c r="BC22" s="447"/>
      <c r="BD22" s="447"/>
      <c r="BE22" s="447"/>
      <c r="BF22" s="447"/>
      <c r="BG22" s="447"/>
      <c r="BH22" s="447"/>
      <c r="BI22" s="792"/>
      <c r="BJ22" s="790"/>
      <c r="BK22" s="790"/>
      <c r="BL22" s="790"/>
      <c r="BM22" s="790"/>
      <c r="BN22" s="807"/>
      <c r="BO22" s="807"/>
      <c r="BP22" s="788"/>
      <c r="BQ22" s="788"/>
      <c r="BR22" s="792"/>
      <c r="BS22" s="790"/>
      <c r="BT22" s="790"/>
      <c r="BU22" s="790"/>
      <c r="BV22" s="790"/>
      <c r="BW22" s="807"/>
      <c r="BX22" s="807"/>
      <c r="BY22" s="788"/>
      <c r="BZ22" s="788"/>
      <c r="CA22" s="792"/>
      <c r="CB22" s="431">
        <v>0</v>
      </c>
      <c r="CC22" s="431">
        <v>0</v>
      </c>
      <c r="CD22" s="805"/>
      <c r="CE22" s="422"/>
      <c r="CF22" s="422"/>
      <c r="CG22" s="422"/>
      <c r="CH22" s="422"/>
      <c r="CI22" s="422"/>
      <c r="CJ22" s="422"/>
      <c r="CK22" s="422"/>
      <c r="CL22" s="422"/>
      <c r="CM22" s="422"/>
      <c r="CN22" s="422"/>
      <c r="CO22" s="422"/>
      <c r="CP22" s="422"/>
      <c r="CQ22" s="422"/>
      <c r="CR22" s="422"/>
      <c r="CS22" s="422"/>
      <c r="CT22" s="422"/>
      <c r="CU22" s="422"/>
      <c r="CV22" s="422"/>
      <c r="CW22" s="422"/>
      <c r="CX22" s="422"/>
      <c r="CY22" s="422"/>
      <c r="CZ22" s="422"/>
      <c r="DA22" s="422"/>
      <c r="DB22" s="422"/>
      <c r="DC22" s="422"/>
      <c r="DD22" s="422"/>
      <c r="DE22" s="422"/>
      <c r="DF22" s="422"/>
    </row>
    <row r="23" spans="1:110" s="423" customFormat="1" ht="22.5" x14ac:dyDescent="0.2">
      <c r="A23" s="794" t="s">
        <v>433</v>
      </c>
      <c r="B23" s="425" t="s">
        <v>1639</v>
      </c>
      <c r="C23" s="426" t="s">
        <v>1088</v>
      </c>
      <c r="D23" s="445"/>
      <c r="E23" s="782" t="s">
        <v>1089</v>
      </c>
      <c r="F23" s="441" t="s">
        <v>1666</v>
      </c>
      <c r="G23" s="430">
        <v>3285</v>
      </c>
      <c r="H23" s="430">
        <v>887</v>
      </c>
      <c r="I23" s="440">
        <f>SUM(G23:H23)</f>
        <v>4172</v>
      </c>
      <c r="J23" s="441">
        <f t="shared" si="10"/>
        <v>0</v>
      </c>
      <c r="K23" s="441">
        <f t="shared" si="10"/>
        <v>0</v>
      </c>
      <c r="L23" s="441">
        <f t="shared" si="10"/>
        <v>0</v>
      </c>
      <c r="M23" s="440">
        <v>3285</v>
      </c>
      <c r="N23" s="440">
        <v>887</v>
      </c>
      <c r="O23" s="441">
        <f t="shared" si="13"/>
        <v>4172</v>
      </c>
      <c r="P23" s="441">
        <f t="shared" si="12"/>
        <v>0</v>
      </c>
      <c r="Q23" s="441">
        <f t="shared" si="12"/>
        <v>0</v>
      </c>
      <c r="R23" s="441">
        <f t="shared" si="12"/>
        <v>0</v>
      </c>
      <c r="S23" s="442">
        <v>3285</v>
      </c>
      <c r="T23" s="442">
        <v>887</v>
      </c>
      <c r="U23" s="441">
        <f t="shared" si="14"/>
        <v>4172</v>
      </c>
      <c r="V23" s="441"/>
      <c r="W23" s="441"/>
      <c r="X23" s="441"/>
      <c r="Y23" s="442">
        <v>3285</v>
      </c>
      <c r="Z23" s="442">
        <v>887</v>
      </c>
      <c r="AA23" s="441">
        <v>4172</v>
      </c>
      <c r="AB23" s="442">
        <f t="shared" si="8"/>
        <v>-3285</v>
      </c>
      <c r="AC23" s="442">
        <f t="shared" si="8"/>
        <v>-887</v>
      </c>
      <c r="AD23" s="424" t="s">
        <v>1725</v>
      </c>
      <c r="AE23" s="442">
        <v>0</v>
      </c>
      <c r="AF23" s="442">
        <v>0</v>
      </c>
      <c r="AG23" s="442">
        <f t="shared" si="15"/>
        <v>0</v>
      </c>
      <c r="AH23" s="440"/>
      <c r="AI23" s="440"/>
      <c r="AJ23" s="440"/>
      <c r="AK23" s="447"/>
      <c r="AL23" s="447"/>
      <c r="AM23" s="447"/>
      <c r="AN23" s="447"/>
      <c r="AO23" s="447"/>
      <c r="AP23" s="447"/>
      <c r="AQ23" s="447"/>
      <c r="AR23" s="447"/>
      <c r="AS23" s="447"/>
      <c r="AT23" s="447"/>
      <c r="AU23" s="447"/>
      <c r="AV23" s="447"/>
      <c r="AW23" s="447"/>
      <c r="AX23" s="447"/>
      <c r="AY23" s="447"/>
      <c r="AZ23" s="447"/>
      <c r="BA23" s="447"/>
      <c r="BB23" s="447"/>
      <c r="BC23" s="447"/>
      <c r="BD23" s="447"/>
      <c r="BE23" s="447"/>
      <c r="BF23" s="447"/>
      <c r="BG23" s="447"/>
      <c r="BH23" s="447"/>
      <c r="BI23" s="802">
        <f>SUM(I23:I30)</f>
        <v>6955</v>
      </c>
      <c r="BJ23" s="799">
        <f>SUM(L23:L29)</f>
        <v>1944</v>
      </c>
      <c r="BK23" s="799">
        <f>SUM(O23:O29)</f>
        <v>8899</v>
      </c>
      <c r="BL23" s="799">
        <f>SUM(R23:R29)</f>
        <v>0</v>
      </c>
      <c r="BM23" s="799">
        <f>SUM(U23:U29)</f>
        <v>8899</v>
      </c>
      <c r="BN23" s="799">
        <f>SUM(AD23:AD30)</f>
        <v>1886</v>
      </c>
      <c r="BO23" s="799">
        <f>SUM(AA23:AA30)</f>
        <v>8899</v>
      </c>
      <c r="BP23" s="799"/>
      <c r="BQ23" s="802">
        <f>SUM(AG23:AG30)</f>
        <v>6613</v>
      </c>
      <c r="BR23" s="802">
        <f>SUM(AJ23:AJ30)</f>
        <v>0</v>
      </c>
      <c r="BS23" s="799">
        <f>SUM(AM23:AM29)</f>
        <v>0</v>
      </c>
      <c r="BT23" s="799">
        <f>SUM(AP23:AP29)</f>
        <v>0</v>
      </c>
      <c r="BU23" s="799">
        <f>SUM(AS23:AS29)</f>
        <v>0</v>
      </c>
      <c r="BV23" s="799">
        <f>SUM(AV23:AV29)</f>
        <v>0</v>
      </c>
      <c r="BW23" s="799">
        <f>SUM(BE23:BE30)</f>
        <v>0</v>
      </c>
      <c r="BX23" s="799">
        <f>SUM(BB23:BB30)</f>
        <v>0</v>
      </c>
      <c r="BY23" s="799"/>
      <c r="BZ23" s="799">
        <f>SUM(BH23:BH30)</f>
        <v>0</v>
      </c>
      <c r="CA23" s="802">
        <f>SUM(BQ23,BZ23)</f>
        <v>6613</v>
      </c>
      <c r="CB23" s="431"/>
      <c r="CC23" s="431">
        <v>0</v>
      </c>
      <c r="CD23" s="802">
        <f>SUM(CC23:CC30)</f>
        <v>6613</v>
      </c>
      <c r="CE23" s="422"/>
      <c r="CF23" s="422"/>
      <c r="CG23" s="422"/>
      <c r="CH23" s="422"/>
      <c r="CI23" s="422"/>
      <c r="CJ23" s="422"/>
      <c r="CK23" s="422"/>
      <c r="CL23" s="422"/>
      <c r="CM23" s="422"/>
      <c r="CN23" s="422"/>
      <c r="CO23" s="422"/>
      <c r="CP23" s="422"/>
      <c r="CQ23" s="422"/>
      <c r="CR23" s="422"/>
      <c r="CS23" s="422"/>
      <c r="CT23" s="422"/>
      <c r="CU23" s="422"/>
      <c r="CV23" s="422"/>
      <c r="CW23" s="422"/>
      <c r="CX23" s="422"/>
      <c r="CY23" s="422"/>
      <c r="CZ23" s="422"/>
      <c r="DA23" s="422"/>
      <c r="DB23" s="422"/>
      <c r="DC23" s="422"/>
      <c r="DD23" s="422"/>
      <c r="DE23" s="422"/>
      <c r="DF23" s="422"/>
    </row>
    <row r="24" spans="1:110" s="423" customFormat="1" ht="22.5" x14ac:dyDescent="0.2">
      <c r="A24" s="798"/>
      <c r="B24" s="425" t="s">
        <v>1639</v>
      </c>
      <c r="C24" s="426" t="s">
        <v>1090</v>
      </c>
      <c r="D24" s="445"/>
      <c r="E24" s="783"/>
      <c r="F24" s="441" t="s">
        <v>1667</v>
      </c>
      <c r="G24" s="430">
        <v>1717</v>
      </c>
      <c r="H24" s="430">
        <v>464</v>
      </c>
      <c r="I24" s="440">
        <f>SUM(G24:H24)</f>
        <v>2181</v>
      </c>
      <c r="J24" s="441">
        <f t="shared" si="10"/>
        <v>0</v>
      </c>
      <c r="K24" s="441">
        <f t="shared" si="10"/>
        <v>0</v>
      </c>
      <c r="L24" s="441">
        <f t="shared" si="10"/>
        <v>0</v>
      </c>
      <c r="M24" s="440">
        <v>1717</v>
      </c>
      <c r="N24" s="440">
        <v>464</v>
      </c>
      <c r="O24" s="441">
        <f t="shared" si="13"/>
        <v>2181</v>
      </c>
      <c r="P24" s="441">
        <f t="shared" si="12"/>
        <v>0</v>
      </c>
      <c r="Q24" s="441">
        <f t="shared" si="12"/>
        <v>0</v>
      </c>
      <c r="R24" s="441">
        <f t="shared" si="12"/>
        <v>0</v>
      </c>
      <c r="S24" s="442">
        <v>1717</v>
      </c>
      <c r="T24" s="442">
        <v>464</v>
      </c>
      <c r="U24" s="441">
        <f t="shared" si="14"/>
        <v>2181</v>
      </c>
      <c r="V24" s="441"/>
      <c r="W24" s="441"/>
      <c r="X24" s="441"/>
      <c r="Y24" s="442">
        <v>1717</v>
      </c>
      <c r="Z24" s="442">
        <v>464</v>
      </c>
      <c r="AA24" s="441">
        <v>2181</v>
      </c>
      <c r="AB24" s="442">
        <f t="shared" si="8"/>
        <v>0</v>
      </c>
      <c r="AC24" s="442">
        <f t="shared" si="8"/>
        <v>0</v>
      </c>
      <c r="AD24" s="424"/>
      <c r="AE24" s="442">
        <v>1717</v>
      </c>
      <c r="AF24" s="442">
        <v>464</v>
      </c>
      <c r="AG24" s="442">
        <f t="shared" si="15"/>
        <v>2181</v>
      </c>
      <c r="AH24" s="440"/>
      <c r="AI24" s="440"/>
      <c r="AJ24" s="440"/>
      <c r="AK24" s="447"/>
      <c r="AL24" s="447"/>
      <c r="AM24" s="447"/>
      <c r="AN24" s="447"/>
      <c r="AO24" s="447"/>
      <c r="AP24" s="447"/>
      <c r="AQ24" s="447"/>
      <c r="AR24" s="447"/>
      <c r="AS24" s="447"/>
      <c r="AT24" s="447"/>
      <c r="AU24" s="447"/>
      <c r="AV24" s="447"/>
      <c r="AW24" s="447"/>
      <c r="AX24" s="447"/>
      <c r="AY24" s="447"/>
      <c r="AZ24" s="447"/>
      <c r="BA24" s="447"/>
      <c r="BB24" s="447"/>
      <c r="BC24" s="447"/>
      <c r="BD24" s="447"/>
      <c r="BE24" s="447"/>
      <c r="BF24" s="447"/>
      <c r="BG24" s="447"/>
      <c r="BH24" s="447"/>
      <c r="BI24" s="803"/>
      <c r="BJ24" s="800"/>
      <c r="BK24" s="800"/>
      <c r="BL24" s="800"/>
      <c r="BM24" s="800"/>
      <c r="BN24" s="800"/>
      <c r="BO24" s="800"/>
      <c r="BP24" s="800"/>
      <c r="BQ24" s="800"/>
      <c r="BR24" s="803"/>
      <c r="BS24" s="800"/>
      <c r="BT24" s="800"/>
      <c r="BU24" s="800"/>
      <c r="BV24" s="800"/>
      <c r="BW24" s="800"/>
      <c r="BX24" s="800"/>
      <c r="BY24" s="800"/>
      <c r="BZ24" s="800"/>
      <c r="CA24" s="803"/>
      <c r="CB24" s="431">
        <v>1717727</v>
      </c>
      <c r="CC24" s="431">
        <v>2181</v>
      </c>
      <c r="CD24" s="800"/>
      <c r="CE24" s="422"/>
      <c r="CF24" s="422"/>
      <c r="CG24" s="422"/>
      <c r="CH24" s="422"/>
      <c r="CI24" s="422"/>
      <c r="CJ24" s="422"/>
      <c r="CK24" s="422"/>
      <c r="CL24" s="422"/>
      <c r="CM24" s="422"/>
      <c r="CN24" s="422"/>
      <c r="CO24" s="422"/>
      <c r="CP24" s="422"/>
      <c r="CQ24" s="422"/>
      <c r="CR24" s="422"/>
      <c r="CS24" s="422"/>
      <c r="CT24" s="422"/>
      <c r="CU24" s="422"/>
      <c r="CV24" s="422"/>
      <c r="CW24" s="422"/>
      <c r="CX24" s="422"/>
      <c r="CY24" s="422"/>
      <c r="CZ24" s="422"/>
      <c r="DA24" s="422"/>
      <c r="DB24" s="422"/>
      <c r="DC24" s="422"/>
      <c r="DD24" s="422"/>
      <c r="DE24" s="422"/>
      <c r="DF24" s="422"/>
    </row>
    <row r="25" spans="1:110" s="423" customFormat="1" ht="22.5" x14ac:dyDescent="0.2">
      <c r="A25" s="798"/>
      <c r="B25" s="425" t="s">
        <v>1639</v>
      </c>
      <c r="C25" s="426" t="s">
        <v>1091</v>
      </c>
      <c r="D25" s="445"/>
      <c r="E25" s="783"/>
      <c r="F25" s="441" t="s">
        <v>1668</v>
      </c>
      <c r="G25" s="430">
        <v>474</v>
      </c>
      <c r="H25" s="430">
        <v>128</v>
      </c>
      <c r="I25" s="440">
        <f>SUM(G25:H25)</f>
        <v>602</v>
      </c>
      <c r="J25" s="441">
        <f t="shared" si="10"/>
        <v>0</v>
      </c>
      <c r="K25" s="441">
        <f t="shared" si="10"/>
        <v>0</v>
      </c>
      <c r="L25" s="441">
        <f t="shared" si="10"/>
        <v>0</v>
      </c>
      <c r="M25" s="440">
        <v>474</v>
      </c>
      <c r="N25" s="440">
        <v>128</v>
      </c>
      <c r="O25" s="441">
        <f t="shared" si="13"/>
        <v>602</v>
      </c>
      <c r="P25" s="441">
        <f t="shared" si="12"/>
        <v>0</v>
      </c>
      <c r="Q25" s="441">
        <f t="shared" si="12"/>
        <v>0</v>
      </c>
      <c r="R25" s="441">
        <f t="shared" si="12"/>
        <v>0</v>
      </c>
      <c r="S25" s="442">
        <v>474</v>
      </c>
      <c r="T25" s="442">
        <v>128</v>
      </c>
      <c r="U25" s="441">
        <f t="shared" si="14"/>
        <v>602</v>
      </c>
      <c r="V25" s="441"/>
      <c r="W25" s="441"/>
      <c r="X25" s="441"/>
      <c r="Y25" s="442">
        <v>474</v>
      </c>
      <c r="Z25" s="442">
        <v>128</v>
      </c>
      <c r="AA25" s="441">
        <v>602</v>
      </c>
      <c r="AB25" s="442">
        <f t="shared" si="8"/>
        <v>0</v>
      </c>
      <c r="AC25" s="442">
        <f t="shared" si="8"/>
        <v>0</v>
      </c>
      <c r="AD25" s="442">
        <f t="shared" si="8"/>
        <v>0</v>
      </c>
      <c r="AE25" s="442">
        <v>474</v>
      </c>
      <c r="AF25" s="442">
        <v>128</v>
      </c>
      <c r="AG25" s="442">
        <f t="shared" si="15"/>
        <v>602</v>
      </c>
      <c r="AH25" s="430"/>
      <c r="AI25" s="430"/>
      <c r="AJ25" s="430"/>
      <c r="AK25" s="448"/>
      <c r="AL25" s="448"/>
      <c r="AM25" s="448"/>
      <c r="AN25" s="448"/>
      <c r="AO25" s="448"/>
      <c r="AP25" s="448"/>
      <c r="AQ25" s="424"/>
      <c r="AR25" s="424"/>
      <c r="AS25" s="424"/>
      <c r="AT25" s="424"/>
      <c r="AU25" s="424"/>
      <c r="AV25" s="424"/>
      <c r="AW25" s="424"/>
      <c r="AX25" s="424"/>
      <c r="AY25" s="424"/>
      <c r="AZ25" s="424"/>
      <c r="BA25" s="424"/>
      <c r="BB25" s="424"/>
      <c r="BC25" s="424"/>
      <c r="BD25" s="424"/>
      <c r="BE25" s="424"/>
      <c r="BF25" s="424"/>
      <c r="BG25" s="424"/>
      <c r="BH25" s="424"/>
      <c r="BI25" s="803"/>
      <c r="BJ25" s="800"/>
      <c r="BK25" s="800"/>
      <c r="BL25" s="800"/>
      <c r="BM25" s="800"/>
      <c r="BN25" s="800"/>
      <c r="BO25" s="800"/>
      <c r="BP25" s="800"/>
      <c r="BQ25" s="800"/>
      <c r="BR25" s="803"/>
      <c r="BS25" s="800"/>
      <c r="BT25" s="800"/>
      <c r="BU25" s="800"/>
      <c r="BV25" s="800"/>
      <c r="BW25" s="800"/>
      <c r="BX25" s="800"/>
      <c r="BY25" s="800"/>
      <c r="BZ25" s="800"/>
      <c r="CA25" s="803"/>
      <c r="CB25" s="431">
        <v>473817</v>
      </c>
      <c r="CC25" s="431">
        <v>602</v>
      </c>
      <c r="CD25" s="800"/>
      <c r="CE25" s="422"/>
      <c r="CF25" s="422"/>
      <c r="CG25" s="422"/>
      <c r="CH25" s="422"/>
      <c r="CI25" s="422"/>
      <c r="CJ25" s="422"/>
      <c r="CK25" s="422"/>
      <c r="CL25" s="422"/>
      <c r="CM25" s="422"/>
      <c r="CN25" s="422"/>
      <c r="CO25" s="422"/>
      <c r="CP25" s="422"/>
      <c r="CQ25" s="422"/>
      <c r="CR25" s="422"/>
      <c r="CS25" s="422"/>
      <c r="CT25" s="422"/>
      <c r="CU25" s="422"/>
      <c r="CV25" s="422"/>
      <c r="CW25" s="422"/>
      <c r="CX25" s="422"/>
      <c r="CY25" s="422"/>
      <c r="CZ25" s="422"/>
      <c r="DA25" s="422"/>
      <c r="DB25" s="422"/>
      <c r="DC25" s="422"/>
      <c r="DD25" s="422"/>
      <c r="DE25" s="422"/>
      <c r="DF25" s="422"/>
    </row>
    <row r="26" spans="1:110" s="423" customFormat="1" x14ac:dyDescent="0.2">
      <c r="A26" s="798"/>
      <c r="B26" s="425" t="s">
        <v>1639</v>
      </c>
      <c r="C26" s="426" t="s">
        <v>1092</v>
      </c>
      <c r="D26" s="445" t="s">
        <v>1055</v>
      </c>
      <c r="E26" s="783"/>
      <c r="F26" s="441" t="s">
        <v>1093</v>
      </c>
      <c r="G26" s="430"/>
      <c r="H26" s="430"/>
      <c r="I26" s="440"/>
      <c r="J26" s="442">
        <f t="shared" si="10"/>
        <v>345</v>
      </c>
      <c r="K26" s="442">
        <f t="shared" si="10"/>
        <v>0</v>
      </c>
      <c r="L26" s="442">
        <f t="shared" si="10"/>
        <v>345</v>
      </c>
      <c r="M26" s="442">
        <v>345</v>
      </c>
      <c r="N26" s="442"/>
      <c r="O26" s="442">
        <f t="shared" si="13"/>
        <v>345</v>
      </c>
      <c r="P26" s="442">
        <f t="shared" si="12"/>
        <v>0</v>
      </c>
      <c r="Q26" s="442">
        <f t="shared" si="12"/>
        <v>0</v>
      </c>
      <c r="R26" s="442">
        <f t="shared" si="12"/>
        <v>0</v>
      </c>
      <c r="S26" s="442">
        <v>345</v>
      </c>
      <c r="T26" s="442"/>
      <c r="U26" s="442">
        <f t="shared" si="14"/>
        <v>345</v>
      </c>
      <c r="V26" s="442"/>
      <c r="W26" s="442"/>
      <c r="X26" s="442"/>
      <c r="Y26" s="442">
        <v>345</v>
      </c>
      <c r="Z26" s="442"/>
      <c r="AA26" s="442">
        <v>345</v>
      </c>
      <c r="AB26" s="442">
        <f t="shared" si="8"/>
        <v>0</v>
      </c>
      <c r="AC26" s="442">
        <f t="shared" si="8"/>
        <v>0</v>
      </c>
      <c r="AD26" s="442">
        <f t="shared" si="8"/>
        <v>0</v>
      </c>
      <c r="AE26" s="442">
        <v>345</v>
      </c>
      <c r="AF26" s="442"/>
      <c r="AG26" s="442">
        <f t="shared" si="15"/>
        <v>345</v>
      </c>
      <c r="AH26" s="432"/>
      <c r="AI26" s="430"/>
      <c r="AJ26" s="430"/>
      <c r="AK26" s="448"/>
      <c r="AL26" s="448"/>
      <c r="AM26" s="448"/>
      <c r="AN26" s="448"/>
      <c r="AO26" s="448"/>
      <c r="AP26" s="448"/>
      <c r="AQ26" s="424"/>
      <c r="AR26" s="424"/>
      <c r="AS26" s="424"/>
      <c r="AT26" s="424"/>
      <c r="AU26" s="424"/>
      <c r="AV26" s="424"/>
      <c r="AW26" s="424"/>
      <c r="AX26" s="424"/>
      <c r="AY26" s="424"/>
      <c r="AZ26" s="424"/>
      <c r="BA26" s="424"/>
      <c r="BB26" s="424"/>
      <c r="BC26" s="424"/>
      <c r="BD26" s="424"/>
      <c r="BE26" s="424"/>
      <c r="BF26" s="424"/>
      <c r="BG26" s="424"/>
      <c r="BH26" s="424"/>
      <c r="BI26" s="803"/>
      <c r="BJ26" s="800"/>
      <c r="BK26" s="800"/>
      <c r="BL26" s="800"/>
      <c r="BM26" s="800"/>
      <c r="BN26" s="800"/>
      <c r="BO26" s="800"/>
      <c r="BP26" s="800"/>
      <c r="BQ26" s="800"/>
      <c r="BR26" s="803"/>
      <c r="BS26" s="800"/>
      <c r="BT26" s="800"/>
      <c r="BU26" s="800"/>
      <c r="BV26" s="800"/>
      <c r="BW26" s="800"/>
      <c r="BX26" s="800"/>
      <c r="BY26" s="800"/>
      <c r="BZ26" s="800"/>
      <c r="CA26" s="803"/>
      <c r="CB26" s="431">
        <v>344930</v>
      </c>
      <c r="CC26" s="431">
        <v>345</v>
      </c>
      <c r="CD26" s="800"/>
      <c r="CE26" s="422"/>
      <c r="CF26" s="422"/>
      <c r="CG26" s="422"/>
      <c r="CH26" s="422"/>
      <c r="CI26" s="422"/>
      <c r="CJ26" s="422"/>
      <c r="CK26" s="422"/>
      <c r="CL26" s="422"/>
      <c r="CM26" s="422"/>
      <c r="CN26" s="422"/>
      <c r="CO26" s="422"/>
      <c r="CP26" s="422"/>
      <c r="CQ26" s="422"/>
      <c r="CR26" s="422"/>
      <c r="CS26" s="422"/>
      <c r="CT26" s="422"/>
      <c r="CU26" s="422"/>
      <c r="CV26" s="422"/>
      <c r="CW26" s="422"/>
      <c r="CX26" s="422"/>
      <c r="CY26" s="422"/>
      <c r="CZ26" s="422"/>
      <c r="DA26" s="422"/>
      <c r="DB26" s="422"/>
      <c r="DC26" s="422"/>
      <c r="DD26" s="422"/>
      <c r="DE26" s="422"/>
      <c r="DF26" s="422"/>
    </row>
    <row r="27" spans="1:110" s="423" customFormat="1" x14ac:dyDescent="0.2">
      <c r="A27" s="798"/>
      <c r="B27" s="425" t="s">
        <v>1639</v>
      </c>
      <c r="C27" s="426" t="s">
        <v>1094</v>
      </c>
      <c r="D27" s="445" t="s">
        <v>1055</v>
      </c>
      <c r="E27" s="783"/>
      <c r="F27" s="441" t="s">
        <v>1093</v>
      </c>
      <c r="G27" s="430"/>
      <c r="H27" s="430"/>
      <c r="I27" s="440"/>
      <c r="J27" s="442">
        <f t="shared" si="10"/>
        <v>374</v>
      </c>
      <c r="K27" s="442">
        <f t="shared" si="10"/>
        <v>0</v>
      </c>
      <c r="L27" s="442">
        <f t="shared" si="10"/>
        <v>374</v>
      </c>
      <c r="M27" s="442">
        <v>374</v>
      </c>
      <c r="N27" s="442">
        <v>0</v>
      </c>
      <c r="O27" s="442">
        <f t="shared" si="13"/>
        <v>374</v>
      </c>
      <c r="P27" s="442">
        <f t="shared" si="12"/>
        <v>0</v>
      </c>
      <c r="Q27" s="442">
        <f t="shared" si="12"/>
        <v>0</v>
      </c>
      <c r="R27" s="442">
        <f t="shared" si="12"/>
        <v>0</v>
      </c>
      <c r="S27" s="442">
        <v>374</v>
      </c>
      <c r="T27" s="442">
        <v>0</v>
      </c>
      <c r="U27" s="442">
        <f t="shared" si="14"/>
        <v>374</v>
      </c>
      <c r="V27" s="442"/>
      <c r="W27" s="442"/>
      <c r="X27" s="442"/>
      <c r="Y27" s="442">
        <v>374</v>
      </c>
      <c r="Z27" s="442">
        <v>0</v>
      </c>
      <c r="AA27" s="442">
        <v>374</v>
      </c>
      <c r="AB27" s="442">
        <f t="shared" si="8"/>
        <v>0</v>
      </c>
      <c r="AC27" s="442">
        <f t="shared" si="8"/>
        <v>0</v>
      </c>
      <c r="AD27" s="442">
        <f t="shared" si="8"/>
        <v>0</v>
      </c>
      <c r="AE27" s="442">
        <v>374</v>
      </c>
      <c r="AF27" s="442">
        <v>0</v>
      </c>
      <c r="AG27" s="442">
        <f t="shared" si="15"/>
        <v>374</v>
      </c>
      <c r="AH27" s="432"/>
      <c r="AI27" s="430"/>
      <c r="AJ27" s="430"/>
      <c r="AK27" s="448"/>
      <c r="AL27" s="448"/>
      <c r="AM27" s="448"/>
      <c r="AN27" s="448"/>
      <c r="AO27" s="448"/>
      <c r="AP27" s="448"/>
      <c r="AQ27" s="424"/>
      <c r="AR27" s="424"/>
      <c r="AS27" s="424"/>
      <c r="AT27" s="424"/>
      <c r="AU27" s="424"/>
      <c r="AV27" s="424"/>
      <c r="AW27" s="424"/>
      <c r="AX27" s="424"/>
      <c r="AY27" s="424"/>
      <c r="AZ27" s="424"/>
      <c r="BA27" s="424"/>
      <c r="BB27" s="424"/>
      <c r="BC27" s="424"/>
      <c r="BD27" s="424"/>
      <c r="BE27" s="424"/>
      <c r="BF27" s="424"/>
      <c r="BG27" s="424"/>
      <c r="BH27" s="424"/>
      <c r="BI27" s="803"/>
      <c r="BJ27" s="800"/>
      <c r="BK27" s="800"/>
      <c r="BL27" s="800"/>
      <c r="BM27" s="800"/>
      <c r="BN27" s="800"/>
      <c r="BO27" s="800"/>
      <c r="BP27" s="800"/>
      <c r="BQ27" s="800"/>
      <c r="BR27" s="803"/>
      <c r="BS27" s="800"/>
      <c r="BT27" s="800"/>
      <c r="BU27" s="800"/>
      <c r="BV27" s="800"/>
      <c r="BW27" s="800"/>
      <c r="BX27" s="800"/>
      <c r="BY27" s="800"/>
      <c r="BZ27" s="800"/>
      <c r="CA27" s="803"/>
      <c r="CB27" s="431">
        <v>374900</v>
      </c>
      <c r="CC27" s="431">
        <v>375</v>
      </c>
      <c r="CD27" s="800"/>
      <c r="CE27" s="422"/>
      <c r="CF27" s="422"/>
      <c r="CG27" s="422"/>
      <c r="CH27" s="422"/>
      <c r="CI27" s="422"/>
      <c r="CJ27" s="422"/>
      <c r="CK27" s="422"/>
      <c r="CL27" s="422"/>
      <c r="CM27" s="422"/>
      <c r="CN27" s="422"/>
      <c r="CO27" s="422"/>
      <c r="CP27" s="422"/>
      <c r="CQ27" s="422"/>
      <c r="CR27" s="422"/>
      <c r="CS27" s="422"/>
      <c r="CT27" s="422"/>
      <c r="CU27" s="422"/>
      <c r="CV27" s="422"/>
      <c r="CW27" s="422"/>
      <c r="CX27" s="422"/>
      <c r="CY27" s="422"/>
      <c r="CZ27" s="422"/>
      <c r="DA27" s="422"/>
      <c r="DB27" s="422"/>
      <c r="DC27" s="422"/>
      <c r="DD27" s="422"/>
      <c r="DE27" s="422"/>
      <c r="DF27" s="422"/>
    </row>
    <row r="28" spans="1:110" s="423" customFormat="1" x14ac:dyDescent="0.2">
      <c r="A28" s="798"/>
      <c r="B28" s="425" t="s">
        <v>1639</v>
      </c>
      <c r="C28" s="426" t="s">
        <v>1095</v>
      </c>
      <c r="D28" s="445"/>
      <c r="E28" s="783"/>
      <c r="F28" s="441" t="s">
        <v>1096</v>
      </c>
      <c r="G28" s="430"/>
      <c r="H28" s="430"/>
      <c r="I28" s="440"/>
      <c r="J28" s="442">
        <f t="shared" si="10"/>
        <v>118</v>
      </c>
      <c r="K28" s="442">
        <v>32</v>
      </c>
      <c r="L28" s="442">
        <f t="shared" si="10"/>
        <v>150</v>
      </c>
      <c r="M28" s="442">
        <v>118</v>
      </c>
      <c r="N28" s="442">
        <v>32</v>
      </c>
      <c r="O28" s="442">
        <f t="shared" si="13"/>
        <v>150</v>
      </c>
      <c r="P28" s="442">
        <f t="shared" si="12"/>
        <v>0</v>
      </c>
      <c r="Q28" s="442">
        <v>32</v>
      </c>
      <c r="R28" s="442">
        <f t="shared" si="12"/>
        <v>0</v>
      </c>
      <c r="S28" s="442">
        <v>118</v>
      </c>
      <c r="T28" s="442">
        <v>32</v>
      </c>
      <c r="U28" s="442">
        <f t="shared" si="14"/>
        <v>150</v>
      </c>
      <c r="V28" s="442"/>
      <c r="W28" s="442"/>
      <c r="X28" s="442"/>
      <c r="Y28" s="442">
        <v>118</v>
      </c>
      <c r="Z28" s="442">
        <v>32</v>
      </c>
      <c r="AA28" s="442">
        <v>150</v>
      </c>
      <c r="AB28" s="442">
        <f t="shared" si="8"/>
        <v>0</v>
      </c>
      <c r="AC28" s="442">
        <f t="shared" si="8"/>
        <v>0</v>
      </c>
      <c r="AD28" s="442">
        <f t="shared" si="8"/>
        <v>0</v>
      </c>
      <c r="AE28" s="442">
        <v>118</v>
      </c>
      <c r="AF28" s="442">
        <v>32</v>
      </c>
      <c r="AG28" s="442">
        <f t="shared" si="15"/>
        <v>150</v>
      </c>
      <c r="AH28" s="432"/>
      <c r="AI28" s="430"/>
      <c r="AJ28" s="430"/>
      <c r="AK28" s="448"/>
      <c r="AL28" s="448"/>
      <c r="AM28" s="448"/>
      <c r="AN28" s="448"/>
      <c r="AO28" s="448"/>
      <c r="AP28" s="448"/>
      <c r="AQ28" s="424"/>
      <c r="AR28" s="424"/>
      <c r="AS28" s="424"/>
      <c r="AT28" s="424"/>
      <c r="AU28" s="424"/>
      <c r="AV28" s="424"/>
      <c r="AW28" s="424"/>
      <c r="AX28" s="424"/>
      <c r="AY28" s="424"/>
      <c r="AZ28" s="424"/>
      <c r="BA28" s="424"/>
      <c r="BB28" s="424"/>
      <c r="BC28" s="424"/>
      <c r="BD28" s="424"/>
      <c r="BE28" s="424"/>
      <c r="BF28" s="424"/>
      <c r="BG28" s="424"/>
      <c r="BH28" s="424"/>
      <c r="BI28" s="803"/>
      <c r="BJ28" s="800"/>
      <c r="BK28" s="800"/>
      <c r="BL28" s="800"/>
      <c r="BM28" s="800"/>
      <c r="BN28" s="800"/>
      <c r="BO28" s="800"/>
      <c r="BP28" s="800"/>
      <c r="BQ28" s="800"/>
      <c r="BR28" s="803"/>
      <c r="BS28" s="800"/>
      <c r="BT28" s="800"/>
      <c r="BU28" s="800"/>
      <c r="BV28" s="800"/>
      <c r="BW28" s="800"/>
      <c r="BX28" s="800"/>
      <c r="BY28" s="800"/>
      <c r="BZ28" s="800"/>
      <c r="CA28" s="803"/>
      <c r="CB28" s="431">
        <v>117655</v>
      </c>
      <c r="CC28" s="431">
        <v>149</v>
      </c>
      <c r="CD28" s="800"/>
      <c r="CE28" s="422"/>
      <c r="CF28" s="422"/>
      <c r="CG28" s="422"/>
      <c r="CH28" s="422"/>
      <c r="CI28" s="422"/>
      <c r="CJ28" s="422"/>
      <c r="CK28" s="422"/>
      <c r="CL28" s="422"/>
      <c r="CM28" s="422"/>
      <c r="CN28" s="422"/>
      <c r="CO28" s="422"/>
      <c r="CP28" s="422"/>
      <c r="CQ28" s="422"/>
      <c r="CR28" s="422"/>
      <c r="CS28" s="422"/>
      <c r="CT28" s="422"/>
      <c r="CU28" s="422"/>
      <c r="CV28" s="422"/>
      <c r="CW28" s="422"/>
      <c r="CX28" s="422"/>
      <c r="CY28" s="422"/>
      <c r="CZ28" s="422"/>
      <c r="DA28" s="422"/>
      <c r="DB28" s="422"/>
      <c r="DC28" s="422"/>
      <c r="DD28" s="422"/>
      <c r="DE28" s="422"/>
      <c r="DF28" s="422"/>
    </row>
    <row r="29" spans="1:110" s="423" customFormat="1" x14ac:dyDescent="0.2">
      <c r="A29" s="798"/>
      <c r="B29" s="425" t="s">
        <v>1639</v>
      </c>
      <c r="C29" s="426" t="s">
        <v>1097</v>
      </c>
      <c r="D29" s="445" t="s">
        <v>1055</v>
      </c>
      <c r="E29" s="783"/>
      <c r="F29" s="442" t="s">
        <v>1098</v>
      </c>
      <c r="G29" s="430"/>
      <c r="H29" s="430"/>
      <c r="I29" s="440"/>
      <c r="J29" s="442">
        <f t="shared" si="10"/>
        <v>1075</v>
      </c>
      <c r="K29" s="442">
        <f t="shared" si="10"/>
        <v>0</v>
      </c>
      <c r="L29" s="442">
        <f t="shared" si="10"/>
        <v>1075</v>
      </c>
      <c r="M29" s="442">
        <v>1075</v>
      </c>
      <c r="N29" s="442"/>
      <c r="O29" s="442">
        <f t="shared" si="13"/>
        <v>1075</v>
      </c>
      <c r="P29" s="442">
        <f t="shared" si="12"/>
        <v>0</v>
      </c>
      <c r="Q29" s="442">
        <f>T29-N29</f>
        <v>0</v>
      </c>
      <c r="R29" s="442">
        <f t="shared" si="12"/>
        <v>0</v>
      </c>
      <c r="S29" s="442">
        <v>1075</v>
      </c>
      <c r="T29" s="442"/>
      <c r="U29" s="442">
        <f t="shared" si="14"/>
        <v>1075</v>
      </c>
      <c r="V29" s="442"/>
      <c r="W29" s="442"/>
      <c r="X29" s="442"/>
      <c r="Y29" s="442">
        <v>1075</v>
      </c>
      <c r="Z29" s="442"/>
      <c r="AA29" s="442">
        <v>1075</v>
      </c>
      <c r="AB29" s="442">
        <f t="shared" si="8"/>
        <v>0</v>
      </c>
      <c r="AC29" s="442">
        <f t="shared" si="8"/>
        <v>0</v>
      </c>
      <c r="AD29" s="442">
        <f t="shared" si="8"/>
        <v>0</v>
      </c>
      <c r="AE29" s="442">
        <v>1075</v>
      </c>
      <c r="AF29" s="442"/>
      <c r="AG29" s="442">
        <f t="shared" si="15"/>
        <v>1075</v>
      </c>
      <c r="AH29" s="432"/>
      <c r="AI29" s="430"/>
      <c r="AJ29" s="430"/>
      <c r="AK29" s="448"/>
      <c r="AL29" s="448"/>
      <c r="AM29" s="448"/>
      <c r="AN29" s="448"/>
      <c r="AO29" s="448"/>
      <c r="AP29" s="448"/>
      <c r="AQ29" s="424"/>
      <c r="AR29" s="424"/>
      <c r="AS29" s="424"/>
      <c r="AT29" s="424"/>
      <c r="AU29" s="424"/>
      <c r="AV29" s="424"/>
      <c r="AW29" s="424"/>
      <c r="AX29" s="424"/>
      <c r="AY29" s="424"/>
      <c r="AZ29" s="424"/>
      <c r="BA29" s="424"/>
      <c r="BB29" s="424"/>
      <c r="BC29" s="424"/>
      <c r="BD29" s="424"/>
      <c r="BE29" s="424"/>
      <c r="BF29" s="424"/>
      <c r="BG29" s="424"/>
      <c r="BH29" s="424"/>
      <c r="BI29" s="803"/>
      <c r="BJ29" s="805"/>
      <c r="BK29" s="800"/>
      <c r="BL29" s="805"/>
      <c r="BM29" s="800"/>
      <c r="BN29" s="800"/>
      <c r="BO29" s="800"/>
      <c r="BP29" s="800"/>
      <c r="BQ29" s="800"/>
      <c r="BR29" s="803"/>
      <c r="BS29" s="805"/>
      <c r="BT29" s="800"/>
      <c r="BU29" s="805"/>
      <c r="BV29" s="800"/>
      <c r="BW29" s="800"/>
      <c r="BX29" s="800"/>
      <c r="BY29" s="800"/>
      <c r="BZ29" s="800"/>
      <c r="CA29" s="803"/>
      <c r="CB29" s="431">
        <v>1075308</v>
      </c>
      <c r="CC29" s="431">
        <v>1075</v>
      </c>
      <c r="CD29" s="800"/>
      <c r="CE29" s="422"/>
      <c r="CF29" s="422"/>
      <c r="CG29" s="422"/>
      <c r="CH29" s="422"/>
      <c r="CI29" s="422"/>
      <c r="CJ29" s="422"/>
      <c r="CK29" s="422"/>
      <c r="CL29" s="422"/>
      <c r="CM29" s="422"/>
      <c r="CN29" s="422"/>
      <c r="CO29" s="422"/>
      <c r="CP29" s="422"/>
      <c r="CQ29" s="422"/>
      <c r="CR29" s="422"/>
      <c r="CS29" s="422"/>
      <c r="CT29" s="422"/>
      <c r="CU29" s="422"/>
      <c r="CV29" s="422"/>
      <c r="CW29" s="422"/>
      <c r="CX29" s="422"/>
      <c r="CY29" s="422"/>
      <c r="CZ29" s="422"/>
      <c r="DA29" s="422"/>
      <c r="DB29" s="422"/>
      <c r="DC29" s="422"/>
      <c r="DD29" s="422"/>
      <c r="DE29" s="422"/>
      <c r="DF29" s="422"/>
    </row>
    <row r="30" spans="1:110" s="423" customFormat="1" x14ac:dyDescent="0.2">
      <c r="A30" s="806"/>
      <c r="B30" s="425" t="s">
        <v>1639</v>
      </c>
      <c r="C30" s="426" t="s">
        <v>1669</v>
      </c>
      <c r="D30" s="445"/>
      <c r="E30" s="784"/>
      <c r="F30" s="449" t="s">
        <v>1670</v>
      </c>
      <c r="G30" s="430"/>
      <c r="H30" s="430"/>
      <c r="I30" s="440"/>
      <c r="J30" s="442"/>
      <c r="K30" s="442"/>
      <c r="L30" s="442"/>
      <c r="M30" s="442"/>
      <c r="N30" s="442"/>
      <c r="O30" s="442"/>
      <c r="P30" s="442"/>
      <c r="Q30" s="442"/>
      <c r="R30" s="442"/>
      <c r="S30" s="442"/>
      <c r="T30" s="442"/>
      <c r="U30" s="442"/>
      <c r="V30" s="442"/>
      <c r="W30" s="442"/>
      <c r="X30" s="442"/>
      <c r="Y30" s="442"/>
      <c r="Z30" s="442"/>
      <c r="AA30" s="442"/>
      <c r="AB30" s="442">
        <f t="shared" si="8"/>
        <v>1485</v>
      </c>
      <c r="AC30" s="442">
        <f t="shared" si="8"/>
        <v>401</v>
      </c>
      <c r="AD30" s="442">
        <f t="shared" si="8"/>
        <v>1886</v>
      </c>
      <c r="AE30" s="440">
        <v>1485</v>
      </c>
      <c r="AF30" s="440">
        <v>401</v>
      </c>
      <c r="AG30" s="440">
        <f t="shared" si="15"/>
        <v>1886</v>
      </c>
      <c r="AH30" s="432"/>
      <c r="AI30" s="430"/>
      <c r="AJ30" s="430"/>
      <c r="AK30" s="448"/>
      <c r="AL30" s="448"/>
      <c r="AM30" s="448"/>
      <c r="AN30" s="448"/>
      <c r="AO30" s="448"/>
      <c r="AP30" s="448"/>
      <c r="AQ30" s="424"/>
      <c r="AR30" s="424"/>
      <c r="AS30" s="424"/>
      <c r="AT30" s="424"/>
      <c r="AU30" s="424"/>
      <c r="AV30" s="424"/>
      <c r="AW30" s="424"/>
      <c r="AX30" s="424"/>
      <c r="AY30" s="424"/>
      <c r="AZ30" s="424"/>
      <c r="BA30" s="424"/>
      <c r="BB30" s="424"/>
      <c r="BC30" s="424"/>
      <c r="BD30" s="424"/>
      <c r="BE30" s="424"/>
      <c r="BF30" s="424"/>
      <c r="BG30" s="424"/>
      <c r="BH30" s="424"/>
      <c r="BI30" s="804"/>
      <c r="BJ30" s="450"/>
      <c r="BK30" s="805"/>
      <c r="BL30" s="450"/>
      <c r="BM30" s="805"/>
      <c r="BN30" s="805"/>
      <c r="BO30" s="805"/>
      <c r="BP30" s="805"/>
      <c r="BQ30" s="805"/>
      <c r="BR30" s="804"/>
      <c r="BS30" s="450"/>
      <c r="BT30" s="805"/>
      <c r="BU30" s="450"/>
      <c r="BV30" s="805"/>
      <c r="BW30" s="805"/>
      <c r="BX30" s="805"/>
      <c r="BY30" s="805"/>
      <c r="BZ30" s="805"/>
      <c r="CA30" s="804"/>
      <c r="CB30" s="431">
        <v>1485100</v>
      </c>
      <c r="CC30" s="431">
        <v>1886</v>
      </c>
      <c r="CD30" s="805"/>
      <c r="CE30" s="422"/>
      <c r="CF30" s="422"/>
      <c r="CG30" s="422"/>
      <c r="CH30" s="422"/>
      <c r="CI30" s="422"/>
      <c r="CJ30" s="422"/>
      <c r="CK30" s="422"/>
      <c r="CL30" s="422"/>
      <c r="CM30" s="422"/>
      <c r="CN30" s="422"/>
      <c r="CO30" s="422"/>
      <c r="CP30" s="422"/>
      <c r="CQ30" s="422"/>
      <c r="CR30" s="422"/>
      <c r="CS30" s="422"/>
      <c r="CT30" s="422"/>
      <c r="CU30" s="422"/>
      <c r="CV30" s="422"/>
      <c r="CW30" s="422"/>
      <c r="CX30" s="422"/>
      <c r="CY30" s="422"/>
      <c r="CZ30" s="422"/>
      <c r="DA30" s="422"/>
      <c r="DB30" s="422"/>
      <c r="DC30" s="422"/>
      <c r="DD30" s="422"/>
      <c r="DE30" s="422"/>
      <c r="DF30" s="422"/>
    </row>
    <row r="31" spans="1:110" ht="22.5" collapsed="1" x14ac:dyDescent="0.2">
      <c r="A31" s="794" t="s">
        <v>1028</v>
      </c>
      <c r="B31" s="425" t="s">
        <v>1639</v>
      </c>
      <c r="C31" s="426" t="s">
        <v>1102</v>
      </c>
      <c r="D31" s="444"/>
      <c r="E31" s="782" t="s">
        <v>1103</v>
      </c>
      <c r="F31" s="428" t="s">
        <v>1671</v>
      </c>
      <c r="G31" s="430">
        <v>950</v>
      </c>
      <c r="H31" s="430">
        <v>257</v>
      </c>
      <c r="I31" s="440">
        <f t="shared" ref="I31:I36" si="16">SUM(G31:H31)</f>
        <v>1207</v>
      </c>
      <c r="J31" s="440">
        <f t="shared" ref="J31:L38" si="17">M31-G31</f>
        <v>0</v>
      </c>
      <c r="K31" s="440">
        <f t="shared" si="17"/>
        <v>0</v>
      </c>
      <c r="L31" s="440">
        <f t="shared" si="17"/>
        <v>0</v>
      </c>
      <c r="M31" s="440">
        <v>950</v>
      </c>
      <c r="N31" s="440">
        <v>257</v>
      </c>
      <c r="O31" s="440">
        <f>SUM(M31:N31)</f>
        <v>1207</v>
      </c>
      <c r="P31" s="440">
        <f t="shared" ref="P31:R35" si="18">S31-M31</f>
        <v>0</v>
      </c>
      <c r="Q31" s="440">
        <f t="shared" si="18"/>
        <v>0</v>
      </c>
      <c r="R31" s="440">
        <f t="shared" si="18"/>
        <v>0</v>
      </c>
      <c r="S31" s="440">
        <v>950</v>
      </c>
      <c r="T31" s="440">
        <v>257</v>
      </c>
      <c r="U31" s="440">
        <f>SUM(S31:T31)</f>
        <v>1207</v>
      </c>
      <c r="V31" s="440"/>
      <c r="W31" s="440"/>
      <c r="X31" s="440"/>
      <c r="Y31" s="440">
        <v>950</v>
      </c>
      <c r="Z31" s="440">
        <v>257</v>
      </c>
      <c r="AA31" s="440">
        <v>1207</v>
      </c>
      <c r="AB31" s="440">
        <f t="shared" si="8"/>
        <v>-950</v>
      </c>
      <c r="AC31" s="440">
        <f t="shared" si="8"/>
        <v>-257</v>
      </c>
      <c r="AD31" s="440">
        <f t="shared" si="8"/>
        <v>0</v>
      </c>
      <c r="AE31" s="440">
        <v>0</v>
      </c>
      <c r="AF31" s="440">
        <v>0</v>
      </c>
      <c r="AG31" s="440">
        <v>1207</v>
      </c>
      <c r="AH31" s="430"/>
      <c r="AI31" s="430"/>
      <c r="AJ31" s="430"/>
      <c r="AK31" s="430"/>
      <c r="AL31" s="430"/>
      <c r="AM31" s="430"/>
      <c r="AN31" s="430"/>
      <c r="AO31" s="430"/>
      <c r="AP31" s="430"/>
      <c r="AQ31" s="430"/>
      <c r="AR31" s="430"/>
      <c r="AS31" s="430"/>
      <c r="AT31" s="430"/>
      <c r="AU31" s="430"/>
      <c r="AV31" s="430"/>
      <c r="AW31" s="430"/>
      <c r="AX31" s="430"/>
      <c r="AY31" s="430"/>
      <c r="AZ31" s="430"/>
      <c r="BA31" s="430"/>
      <c r="BB31" s="430"/>
      <c r="BC31" s="430"/>
      <c r="BD31" s="430"/>
      <c r="BE31" s="430"/>
      <c r="BF31" s="430"/>
      <c r="BG31" s="430"/>
      <c r="BH31" s="430"/>
      <c r="BI31" s="791">
        <f>SUM(I31:I37)</f>
        <v>52362</v>
      </c>
      <c r="BJ31" s="791">
        <f>SUM(L31:L37)</f>
        <v>0</v>
      </c>
      <c r="BK31" s="791">
        <f>SUM(O31:O37)</f>
        <v>52362</v>
      </c>
      <c r="BL31" s="791">
        <f>SUM(R31:R37)</f>
        <v>-10097</v>
      </c>
      <c r="BM31" s="791">
        <f>SUM(U31:U37)</f>
        <v>42265</v>
      </c>
      <c r="BN31" s="796">
        <f>SUM(AD31:AD37)</f>
        <v>-3731</v>
      </c>
      <c r="BO31" s="796">
        <f>SUM(AA31:AA37)</f>
        <v>39011</v>
      </c>
      <c r="BP31" s="789"/>
      <c r="BQ31" s="796">
        <f>SUM(AG31:AG37)</f>
        <v>38534</v>
      </c>
      <c r="BR31" s="791">
        <f>SUM(AJ31:AJ37)</f>
        <v>0</v>
      </c>
      <c r="BS31" s="791">
        <f>SUM(AM31:AM37)</f>
        <v>0</v>
      </c>
      <c r="BT31" s="791">
        <f>SUM(AP31:AP37)</f>
        <v>0</v>
      </c>
      <c r="BU31" s="791">
        <f>SUM(AS31:AS37)</f>
        <v>0</v>
      </c>
      <c r="BV31" s="791">
        <f>SUM(AV31:AV37)</f>
        <v>0</v>
      </c>
      <c r="BW31" s="796">
        <f>SUM(BE31:BE37)</f>
        <v>0</v>
      </c>
      <c r="BX31" s="796">
        <f>SUM(BB31:BB37)</f>
        <v>0</v>
      </c>
      <c r="BY31" s="789"/>
      <c r="BZ31" s="796">
        <f>SUM(BH31:BH37)</f>
        <v>0</v>
      </c>
      <c r="CA31" s="791">
        <f>SUM(BQ31,BZ31)</f>
        <v>38534</v>
      </c>
      <c r="CB31" s="431">
        <v>0</v>
      </c>
      <c r="CC31" s="431">
        <v>0</v>
      </c>
      <c r="CD31" s="802">
        <f>SUM(CC31:CC37)</f>
        <v>15497</v>
      </c>
    </row>
    <row r="32" spans="1:110" ht="22.5" x14ac:dyDescent="0.2">
      <c r="A32" s="798"/>
      <c r="B32" s="425" t="s">
        <v>1639</v>
      </c>
      <c r="C32" s="426" t="s">
        <v>1104</v>
      </c>
      <c r="D32" s="445" t="s">
        <v>1055</v>
      </c>
      <c r="E32" s="783"/>
      <c r="F32" s="428" t="s">
        <v>1672</v>
      </c>
      <c r="G32" s="430">
        <v>755</v>
      </c>
      <c r="H32" s="430"/>
      <c r="I32" s="440">
        <f t="shared" si="16"/>
        <v>755</v>
      </c>
      <c r="J32" s="440">
        <f t="shared" si="17"/>
        <v>0</v>
      </c>
      <c r="K32" s="440">
        <f t="shared" si="17"/>
        <v>0</v>
      </c>
      <c r="L32" s="440">
        <f t="shared" si="17"/>
        <v>0</v>
      </c>
      <c r="M32" s="440">
        <v>755</v>
      </c>
      <c r="N32" s="440"/>
      <c r="O32" s="440">
        <f>SUM(M32:N32)</f>
        <v>755</v>
      </c>
      <c r="P32" s="440">
        <f t="shared" si="18"/>
        <v>0</v>
      </c>
      <c r="Q32" s="440">
        <f t="shared" si="18"/>
        <v>0</v>
      </c>
      <c r="R32" s="440">
        <f t="shared" si="18"/>
        <v>0</v>
      </c>
      <c r="S32" s="440">
        <v>755</v>
      </c>
      <c r="T32" s="440"/>
      <c r="U32" s="440">
        <f>SUM(S32:T32)</f>
        <v>755</v>
      </c>
      <c r="V32" s="440"/>
      <c r="W32" s="440"/>
      <c r="X32" s="440"/>
      <c r="Y32" s="440">
        <v>755</v>
      </c>
      <c r="Z32" s="440"/>
      <c r="AA32" s="440">
        <v>755</v>
      </c>
      <c r="AB32" s="440">
        <f t="shared" si="8"/>
        <v>-755</v>
      </c>
      <c r="AC32" s="440">
        <f t="shared" si="8"/>
        <v>0</v>
      </c>
      <c r="AD32" s="440">
        <f t="shared" si="8"/>
        <v>0</v>
      </c>
      <c r="AE32" s="440">
        <v>0</v>
      </c>
      <c r="AF32" s="440">
        <v>0</v>
      </c>
      <c r="AG32" s="440">
        <v>755</v>
      </c>
      <c r="AH32" s="430"/>
      <c r="AI32" s="430"/>
      <c r="AJ32" s="430"/>
      <c r="AK32" s="430"/>
      <c r="AL32" s="430"/>
      <c r="AM32" s="430"/>
      <c r="AN32" s="430"/>
      <c r="AO32" s="430"/>
      <c r="AP32" s="430"/>
      <c r="AQ32" s="430"/>
      <c r="AR32" s="430"/>
      <c r="AS32" s="430"/>
      <c r="AT32" s="430"/>
      <c r="AU32" s="430"/>
      <c r="AV32" s="430"/>
      <c r="AW32" s="430"/>
      <c r="AX32" s="430"/>
      <c r="AY32" s="430"/>
      <c r="AZ32" s="430"/>
      <c r="BA32" s="430"/>
      <c r="BB32" s="430"/>
      <c r="BC32" s="430"/>
      <c r="BD32" s="430"/>
      <c r="BE32" s="430"/>
      <c r="BF32" s="430"/>
      <c r="BG32" s="430"/>
      <c r="BH32" s="430"/>
      <c r="BI32" s="792"/>
      <c r="BJ32" s="790"/>
      <c r="BK32" s="790"/>
      <c r="BL32" s="790"/>
      <c r="BM32" s="790"/>
      <c r="BN32" s="801"/>
      <c r="BO32" s="801"/>
      <c r="BP32" s="790"/>
      <c r="BQ32" s="787"/>
      <c r="BR32" s="792"/>
      <c r="BS32" s="790"/>
      <c r="BT32" s="790"/>
      <c r="BU32" s="790"/>
      <c r="BV32" s="790"/>
      <c r="BW32" s="801"/>
      <c r="BX32" s="801"/>
      <c r="BY32" s="790"/>
      <c r="BZ32" s="787"/>
      <c r="CA32" s="792"/>
      <c r="CB32" s="431">
        <v>0</v>
      </c>
      <c r="CC32" s="431">
        <v>0</v>
      </c>
      <c r="CD32" s="803"/>
    </row>
    <row r="33" spans="1:110" x14ac:dyDescent="0.2">
      <c r="A33" s="798"/>
      <c r="B33" s="425" t="s">
        <v>1639</v>
      </c>
      <c r="C33" s="426" t="s">
        <v>1105</v>
      </c>
      <c r="D33" s="445" t="s">
        <v>1055</v>
      </c>
      <c r="E33" s="783"/>
      <c r="F33" s="428" t="s">
        <v>1673</v>
      </c>
      <c r="G33" s="430">
        <v>6000</v>
      </c>
      <c r="H33" s="430"/>
      <c r="I33" s="440">
        <f t="shared" si="16"/>
        <v>6000</v>
      </c>
      <c r="J33" s="440">
        <f t="shared" si="17"/>
        <v>0</v>
      </c>
      <c r="K33" s="440">
        <f t="shared" si="17"/>
        <v>0</v>
      </c>
      <c r="L33" s="440">
        <f t="shared" si="17"/>
        <v>0</v>
      </c>
      <c r="M33" s="440">
        <v>6000</v>
      </c>
      <c r="N33" s="440"/>
      <c r="O33" s="440">
        <f>SUM(M33:N33)</f>
        <v>6000</v>
      </c>
      <c r="P33" s="440">
        <f t="shared" si="18"/>
        <v>0</v>
      </c>
      <c r="Q33" s="440">
        <f t="shared" si="18"/>
        <v>0</v>
      </c>
      <c r="R33" s="440">
        <f t="shared" si="18"/>
        <v>0</v>
      </c>
      <c r="S33" s="440">
        <v>6000</v>
      </c>
      <c r="T33" s="440"/>
      <c r="U33" s="440">
        <f>SUM(S33:T33)</f>
        <v>6000</v>
      </c>
      <c r="V33" s="440"/>
      <c r="W33" s="440"/>
      <c r="X33" s="440"/>
      <c r="Y33" s="440">
        <v>6000</v>
      </c>
      <c r="Z33" s="440"/>
      <c r="AA33" s="440">
        <v>6000</v>
      </c>
      <c r="AB33" s="440">
        <f t="shared" si="8"/>
        <v>-600</v>
      </c>
      <c r="AC33" s="440">
        <f t="shared" si="8"/>
        <v>0</v>
      </c>
      <c r="AD33" s="440">
        <f t="shared" si="8"/>
        <v>-600</v>
      </c>
      <c r="AE33" s="440">
        <v>5400</v>
      </c>
      <c r="AF33" s="440">
        <v>0</v>
      </c>
      <c r="AG33" s="440">
        <v>5400</v>
      </c>
      <c r="AH33" s="430"/>
      <c r="AI33" s="430"/>
      <c r="AJ33" s="430"/>
      <c r="AK33" s="430"/>
      <c r="AL33" s="430"/>
      <c r="AM33" s="430"/>
      <c r="AN33" s="430"/>
      <c r="AO33" s="430"/>
      <c r="AP33" s="430"/>
      <c r="AQ33" s="430"/>
      <c r="AR33" s="430"/>
      <c r="AS33" s="430"/>
      <c r="AT33" s="430"/>
      <c r="AU33" s="430"/>
      <c r="AV33" s="430"/>
      <c r="AW33" s="430"/>
      <c r="AX33" s="430"/>
      <c r="AY33" s="430"/>
      <c r="AZ33" s="430"/>
      <c r="BA33" s="430"/>
      <c r="BB33" s="430"/>
      <c r="BC33" s="430"/>
      <c r="BD33" s="430"/>
      <c r="BE33" s="430"/>
      <c r="BF33" s="430"/>
      <c r="BG33" s="430"/>
      <c r="BH33" s="430"/>
      <c r="BI33" s="792"/>
      <c r="BJ33" s="790"/>
      <c r="BK33" s="790"/>
      <c r="BL33" s="790"/>
      <c r="BM33" s="790"/>
      <c r="BN33" s="801"/>
      <c r="BO33" s="801"/>
      <c r="BP33" s="790"/>
      <c r="BQ33" s="787"/>
      <c r="BR33" s="792"/>
      <c r="BS33" s="790"/>
      <c r="BT33" s="790"/>
      <c r="BU33" s="790"/>
      <c r="BV33" s="790"/>
      <c r="BW33" s="801"/>
      <c r="BX33" s="801"/>
      <c r="BY33" s="790"/>
      <c r="BZ33" s="787"/>
      <c r="CA33" s="792"/>
      <c r="CB33" s="431">
        <v>5400000</v>
      </c>
      <c r="CC33" s="431">
        <v>5400</v>
      </c>
      <c r="CD33" s="803"/>
    </row>
    <row r="34" spans="1:110" ht="22.5" x14ac:dyDescent="0.2">
      <c r="A34" s="798"/>
      <c r="B34" s="425" t="s">
        <v>1639</v>
      </c>
      <c r="C34" s="426" t="s">
        <v>1106</v>
      </c>
      <c r="D34" s="444"/>
      <c r="E34" s="783"/>
      <c r="F34" s="428" t="s">
        <v>1674</v>
      </c>
      <c r="G34" s="430">
        <v>1609</v>
      </c>
      <c r="H34" s="430">
        <v>434</v>
      </c>
      <c r="I34" s="440">
        <f t="shared" si="16"/>
        <v>2043</v>
      </c>
      <c r="J34" s="440">
        <f t="shared" si="17"/>
        <v>0</v>
      </c>
      <c r="K34" s="440">
        <f t="shared" si="17"/>
        <v>0</v>
      </c>
      <c r="L34" s="440">
        <f t="shared" si="17"/>
        <v>0</v>
      </c>
      <c r="M34" s="440">
        <v>1609</v>
      </c>
      <c r="N34" s="440">
        <v>434</v>
      </c>
      <c r="O34" s="440">
        <f>SUM(M34:N34)</f>
        <v>2043</v>
      </c>
      <c r="P34" s="440">
        <f t="shared" si="18"/>
        <v>0</v>
      </c>
      <c r="Q34" s="440">
        <f t="shared" si="18"/>
        <v>0</v>
      </c>
      <c r="R34" s="440">
        <f t="shared" si="18"/>
        <v>0</v>
      </c>
      <c r="S34" s="440">
        <v>1609</v>
      </c>
      <c r="T34" s="440">
        <v>434</v>
      </c>
      <c r="U34" s="440">
        <f>SUM(S34:T34)</f>
        <v>2043</v>
      </c>
      <c r="V34" s="440"/>
      <c r="W34" s="440"/>
      <c r="X34" s="440"/>
      <c r="Y34" s="440">
        <v>1609</v>
      </c>
      <c r="Z34" s="440">
        <v>434</v>
      </c>
      <c r="AA34" s="440">
        <v>2043</v>
      </c>
      <c r="AB34" s="440">
        <f t="shared" si="8"/>
        <v>-1609</v>
      </c>
      <c r="AC34" s="440">
        <f t="shared" si="8"/>
        <v>-434</v>
      </c>
      <c r="AD34" s="440">
        <f t="shared" si="8"/>
        <v>0</v>
      </c>
      <c r="AE34" s="440">
        <v>0</v>
      </c>
      <c r="AF34" s="440">
        <v>0</v>
      </c>
      <c r="AG34" s="440">
        <v>2043</v>
      </c>
      <c r="AH34" s="430"/>
      <c r="AI34" s="430"/>
      <c r="AJ34" s="430"/>
      <c r="AK34" s="430"/>
      <c r="AL34" s="430"/>
      <c r="AM34" s="430"/>
      <c r="AN34" s="430"/>
      <c r="AO34" s="430"/>
      <c r="AP34" s="430"/>
      <c r="AQ34" s="430"/>
      <c r="AR34" s="430"/>
      <c r="AS34" s="430"/>
      <c r="AT34" s="430"/>
      <c r="AU34" s="430"/>
      <c r="AV34" s="430"/>
      <c r="AW34" s="430"/>
      <c r="AX34" s="430"/>
      <c r="AY34" s="430"/>
      <c r="AZ34" s="430"/>
      <c r="BA34" s="430"/>
      <c r="BB34" s="430"/>
      <c r="BC34" s="430"/>
      <c r="BD34" s="430"/>
      <c r="BE34" s="430"/>
      <c r="BF34" s="430"/>
      <c r="BG34" s="430"/>
      <c r="BH34" s="430"/>
      <c r="BI34" s="792"/>
      <c r="BJ34" s="790"/>
      <c r="BK34" s="790"/>
      <c r="BL34" s="790"/>
      <c r="BM34" s="790"/>
      <c r="BN34" s="801"/>
      <c r="BO34" s="801"/>
      <c r="BP34" s="790"/>
      <c r="BQ34" s="787"/>
      <c r="BR34" s="792"/>
      <c r="BS34" s="790"/>
      <c r="BT34" s="790"/>
      <c r="BU34" s="790"/>
      <c r="BV34" s="790"/>
      <c r="BW34" s="801"/>
      <c r="BX34" s="801"/>
      <c r="BY34" s="790"/>
      <c r="BZ34" s="787"/>
      <c r="CA34" s="792"/>
      <c r="CB34" s="431">
        <v>0</v>
      </c>
      <c r="CC34" s="431">
        <v>0</v>
      </c>
      <c r="CD34" s="803"/>
      <c r="CG34" s="423"/>
      <c r="CH34" s="423"/>
      <c r="CJ34" s="451"/>
      <c r="CK34" s="451"/>
      <c r="CL34" s="451"/>
      <c r="CM34" s="451"/>
    </row>
    <row r="35" spans="1:110" ht="22.5" x14ac:dyDescent="0.2">
      <c r="A35" s="798"/>
      <c r="B35" s="425" t="s">
        <v>1639</v>
      </c>
      <c r="C35" s="426" t="s">
        <v>1107</v>
      </c>
      <c r="D35" s="444"/>
      <c r="E35" s="783"/>
      <c r="F35" s="428" t="s">
        <v>1675</v>
      </c>
      <c r="G35" s="430">
        <v>9730</v>
      </c>
      <c r="H35" s="430">
        <v>2627</v>
      </c>
      <c r="I35" s="440">
        <f t="shared" si="16"/>
        <v>12357</v>
      </c>
      <c r="J35" s="440">
        <f t="shared" si="17"/>
        <v>0</v>
      </c>
      <c r="K35" s="440">
        <f t="shared" si="17"/>
        <v>0</v>
      </c>
      <c r="L35" s="440">
        <f t="shared" si="17"/>
        <v>0</v>
      </c>
      <c r="M35" s="440">
        <v>9730</v>
      </c>
      <c r="N35" s="440">
        <v>2627</v>
      </c>
      <c r="O35" s="440">
        <f>SUM(M35:N35)</f>
        <v>12357</v>
      </c>
      <c r="P35" s="440">
        <f t="shared" si="18"/>
        <v>0</v>
      </c>
      <c r="Q35" s="440">
        <f t="shared" si="18"/>
        <v>0</v>
      </c>
      <c r="R35" s="440">
        <f t="shared" si="18"/>
        <v>0</v>
      </c>
      <c r="S35" s="440">
        <v>9730</v>
      </c>
      <c r="T35" s="440">
        <v>2627</v>
      </c>
      <c r="U35" s="440">
        <f>SUM(S35:T35)</f>
        <v>12357</v>
      </c>
      <c r="V35" s="440"/>
      <c r="W35" s="440"/>
      <c r="X35" s="440"/>
      <c r="Y35" s="440">
        <v>9730</v>
      </c>
      <c r="Z35" s="440">
        <v>2627</v>
      </c>
      <c r="AA35" s="440">
        <v>12357</v>
      </c>
      <c r="AB35" s="440">
        <f t="shared" ref="AB35:AD42" si="19">AE35-S35</f>
        <v>-9730</v>
      </c>
      <c r="AC35" s="440">
        <f t="shared" si="19"/>
        <v>-2627</v>
      </c>
      <c r="AD35" s="440">
        <f t="shared" si="19"/>
        <v>0</v>
      </c>
      <c r="AE35" s="440">
        <v>0</v>
      </c>
      <c r="AF35" s="440">
        <v>0</v>
      </c>
      <c r="AG35" s="440">
        <v>12357</v>
      </c>
      <c r="AH35" s="430"/>
      <c r="AI35" s="430"/>
      <c r="AJ35" s="430"/>
      <c r="AK35" s="430"/>
      <c r="AL35" s="430"/>
      <c r="AM35" s="430"/>
      <c r="AN35" s="430"/>
      <c r="AO35" s="430"/>
      <c r="AP35" s="430"/>
      <c r="AQ35" s="430"/>
      <c r="AR35" s="430"/>
      <c r="AS35" s="430"/>
      <c r="AT35" s="430"/>
      <c r="AU35" s="430"/>
      <c r="AV35" s="430"/>
      <c r="AW35" s="430"/>
      <c r="AX35" s="430"/>
      <c r="AY35" s="430"/>
      <c r="AZ35" s="430"/>
      <c r="BA35" s="430"/>
      <c r="BB35" s="430"/>
      <c r="BC35" s="430"/>
      <c r="BD35" s="430"/>
      <c r="BE35" s="430"/>
      <c r="BF35" s="430"/>
      <c r="BG35" s="430"/>
      <c r="BH35" s="430"/>
      <c r="BI35" s="792"/>
      <c r="BJ35" s="790"/>
      <c r="BK35" s="790"/>
      <c r="BL35" s="790"/>
      <c r="BM35" s="790"/>
      <c r="BN35" s="801"/>
      <c r="BO35" s="801"/>
      <c r="BP35" s="790"/>
      <c r="BQ35" s="787"/>
      <c r="BR35" s="792"/>
      <c r="BS35" s="790"/>
      <c r="BT35" s="790"/>
      <c r="BU35" s="790"/>
      <c r="BV35" s="790"/>
      <c r="BW35" s="801"/>
      <c r="BX35" s="801"/>
      <c r="BY35" s="790"/>
      <c r="BZ35" s="787"/>
      <c r="CA35" s="792"/>
      <c r="CB35" s="431">
        <v>0</v>
      </c>
      <c r="CC35" s="431">
        <v>0</v>
      </c>
      <c r="CD35" s="803"/>
    </row>
    <row r="36" spans="1:110" x14ac:dyDescent="0.2">
      <c r="A36" s="798"/>
      <c r="B36" s="425" t="s">
        <v>1639</v>
      </c>
      <c r="C36" s="437" t="s">
        <v>1143</v>
      </c>
      <c r="D36" s="444"/>
      <c r="E36" s="783"/>
      <c r="F36" s="428" t="s">
        <v>1676</v>
      </c>
      <c r="G36" s="430">
        <v>23622</v>
      </c>
      <c r="H36" s="430">
        <v>6378</v>
      </c>
      <c r="I36" s="440">
        <f t="shared" si="16"/>
        <v>30000</v>
      </c>
      <c r="J36" s="440">
        <f t="shared" si="17"/>
        <v>-7950</v>
      </c>
      <c r="K36" s="440">
        <f t="shared" si="17"/>
        <v>-2147</v>
      </c>
      <c r="L36" s="440">
        <f t="shared" si="17"/>
        <v>-10097</v>
      </c>
      <c r="M36" s="440">
        <f t="shared" ref="M36:U36" si="20">G36-SUM(M37:M37)</f>
        <v>15672</v>
      </c>
      <c r="N36" s="440">
        <f t="shared" si="20"/>
        <v>4231</v>
      </c>
      <c r="O36" s="440">
        <f t="shared" si="20"/>
        <v>19903</v>
      </c>
      <c r="P36" s="440">
        <f t="shared" si="20"/>
        <v>-7950</v>
      </c>
      <c r="Q36" s="440">
        <f t="shared" si="20"/>
        <v>-2147</v>
      </c>
      <c r="R36" s="440">
        <f t="shared" si="20"/>
        <v>-10097</v>
      </c>
      <c r="S36" s="440">
        <f t="shared" si="20"/>
        <v>7722</v>
      </c>
      <c r="T36" s="440">
        <f t="shared" si="20"/>
        <v>2084</v>
      </c>
      <c r="U36" s="440">
        <f t="shared" si="20"/>
        <v>9806</v>
      </c>
      <c r="V36" s="440"/>
      <c r="W36" s="440"/>
      <c r="X36" s="440"/>
      <c r="Y36" s="440">
        <v>4782</v>
      </c>
      <c r="Z36" s="440">
        <v>1770</v>
      </c>
      <c r="AA36" s="440">
        <v>6552</v>
      </c>
      <c r="AB36" s="440">
        <f t="shared" si="19"/>
        <v>-7722</v>
      </c>
      <c r="AC36" s="440">
        <f t="shared" si="19"/>
        <v>-2084</v>
      </c>
      <c r="AD36" s="440">
        <f t="shared" si="19"/>
        <v>-3131</v>
      </c>
      <c r="AE36" s="440">
        <v>0</v>
      </c>
      <c r="AF36" s="440">
        <v>0</v>
      </c>
      <c r="AG36" s="440">
        <v>6675</v>
      </c>
      <c r="AH36" s="430"/>
      <c r="AI36" s="430"/>
      <c r="AJ36" s="430"/>
      <c r="AK36" s="430"/>
      <c r="AL36" s="430"/>
      <c r="AM36" s="430"/>
      <c r="AN36" s="430"/>
      <c r="AO36" s="430"/>
      <c r="AP36" s="430"/>
      <c r="AQ36" s="430"/>
      <c r="AR36" s="430"/>
      <c r="AS36" s="430"/>
      <c r="AT36" s="430"/>
      <c r="AU36" s="430"/>
      <c r="AV36" s="430"/>
      <c r="AW36" s="430"/>
      <c r="AX36" s="430"/>
      <c r="AY36" s="430"/>
      <c r="AZ36" s="430"/>
      <c r="BA36" s="430"/>
      <c r="BB36" s="430"/>
      <c r="BC36" s="430"/>
      <c r="BD36" s="430"/>
      <c r="BE36" s="430"/>
      <c r="BF36" s="430"/>
      <c r="BG36" s="430"/>
      <c r="BH36" s="430"/>
      <c r="BI36" s="792"/>
      <c r="BJ36" s="790"/>
      <c r="BK36" s="790"/>
      <c r="BL36" s="790"/>
      <c r="BM36" s="790"/>
      <c r="BN36" s="801"/>
      <c r="BO36" s="801"/>
      <c r="BP36" s="811"/>
      <c r="BQ36" s="787"/>
      <c r="BR36" s="792"/>
      <c r="BS36" s="790"/>
      <c r="BT36" s="790"/>
      <c r="BU36" s="790"/>
      <c r="BV36" s="790"/>
      <c r="BW36" s="801"/>
      <c r="BX36" s="801"/>
      <c r="BY36" s="811"/>
      <c r="BZ36" s="787"/>
      <c r="CA36" s="792"/>
      <c r="CB36" s="431">
        <v>0</v>
      </c>
      <c r="CC36" s="431">
        <v>0</v>
      </c>
      <c r="CD36" s="803"/>
    </row>
    <row r="37" spans="1:110" x14ac:dyDescent="0.2">
      <c r="A37" s="798"/>
      <c r="B37" s="425" t="s">
        <v>1639</v>
      </c>
      <c r="C37" s="426" t="s">
        <v>1108</v>
      </c>
      <c r="D37" s="444"/>
      <c r="E37" s="783"/>
      <c r="F37" s="428" t="s">
        <v>1109</v>
      </c>
      <c r="G37" s="430"/>
      <c r="H37" s="430"/>
      <c r="I37" s="440"/>
      <c r="J37" s="440">
        <f t="shared" si="17"/>
        <v>7950</v>
      </c>
      <c r="K37" s="440">
        <f t="shared" si="17"/>
        <v>2147</v>
      </c>
      <c r="L37" s="440">
        <f t="shared" si="17"/>
        <v>10097</v>
      </c>
      <c r="M37" s="440">
        <v>7950</v>
      </c>
      <c r="N37" s="440">
        <v>2147</v>
      </c>
      <c r="O37" s="440">
        <f>SUM(M37:N37)</f>
        <v>10097</v>
      </c>
      <c r="P37" s="440">
        <f t="shared" ref="P37:R37" si="21">S37-M37</f>
        <v>0</v>
      </c>
      <c r="Q37" s="440">
        <f t="shared" si="21"/>
        <v>0</v>
      </c>
      <c r="R37" s="440">
        <f t="shared" si="21"/>
        <v>0</v>
      </c>
      <c r="S37" s="440">
        <v>7950</v>
      </c>
      <c r="T37" s="440">
        <v>2147</v>
      </c>
      <c r="U37" s="440">
        <f>SUM(S37:T37)</f>
        <v>10097</v>
      </c>
      <c r="V37" s="440"/>
      <c r="W37" s="440"/>
      <c r="X37" s="440"/>
      <c r="Y37" s="440">
        <v>7950</v>
      </c>
      <c r="Z37" s="440">
        <v>2147</v>
      </c>
      <c r="AA37" s="440">
        <v>10097</v>
      </c>
      <c r="AB37" s="440">
        <f t="shared" si="19"/>
        <v>0</v>
      </c>
      <c r="AC37" s="440">
        <f t="shared" si="19"/>
        <v>0</v>
      </c>
      <c r="AD37" s="440">
        <f t="shared" si="19"/>
        <v>0</v>
      </c>
      <c r="AE37" s="440">
        <v>7950</v>
      </c>
      <c r="AF37" s="440">
        <v>2147</v>
      </c>
      <c r="AG37" s="440">
        <v>10097</v>
      </c>
      <c r="AH37" s="430"/>
      <c r="AI37" s="430"/>
      <c r="AJ37" s="430"/>
      <c r="AK37" s="430"/>
      <c r="AL37" s="430"/>
      <c r="AM37" s="430"/>
      <c r="AN37" s="430"/>
      <c r="AO37" s="430"/>
      <c r="AP37" s="430"/>
      <c r="AQ37" s="430"/>
      <c r="AR37" s="430"/>
      <c r="AS37" s="430"/>
      <c r="AT37" s="430"/>
      <c r="AU37" s="430"/>
      <c r="AV37" s="430"/>
      <c r="AW37" s="430"/>
      <c r="AX37" s="430"/>
      <c r="AY37" s="430"/>
      <c r="AZ37" s="430"/>
      <c r="BA37" s="430"/>
      <c r="BB37" s="430"/>
      <c r="BC37" s="430"/>
      <c r="BD37" s="430"/>
      <c r="BE37" s="430"/>
      <c r="BF37" s="430"/>
      <c r="BG37" s="430"/>
      <c r="BH37" s="430"/>
      <c r="BI37" s="792"/>
      <c r="BJ37" s="790"/>
      <c r="BK37" s="790"/>
      <c r="BL37" s="790"/>
      <c r="BM37" s="790"/>
      <c r="BN37" s="801"/>
      <c r="BO37" s="801"/>
      <c r="BP37" s="452"/>
      <c r="BQ37" s="788"/>
      <c r="BR37" s="792"/>
      <c r="BS37" s="790"/>
      <c r="BT37" s="790"/>
      <c r="BU37" s="790"/>
      <c r="BV37" s="790"/>
      <c r="BW37" s="801"/>
      <c r="BX37" s="801"/>
      <c r="BY37" s="452"/>
      <c r="BZ37" s="788"/>
      <c r="CA37" s="792"/>
      <c r="CB37" s="431">
        <v>7950000</v>
      </c>
      <c r="CC37" s="431">
        <v>10097</v>
      </c>
      <c r="CD37" s="804"/>
    </row>
    <row r="38" spans="1:110" s="423" customFormat="1" x14ac:dyDescent="0.2">
      <c r="A38" s="794" t="s">
        <v>434</v>
      </c>
      <c r="B38" s="425" t="s">
        <v>1639</v>
      </c>
      <c r="C38" s="426" t="s">
        <v>1101</v>
      </c>
      <c r="D38" s="445"/>
      <c r="E38" s="782" t="s">
        <v>1285</v>
      </c>
      <c r="F38" s="453" t="s">
        <v>435</v>
      </c>
      <c r="G38" s="430">
        <v>780</v>
      </c>
      <c r="H38" s="430">
        <v>211</v>
      </c>
      <c r="I38" s="440">
        <v>991</v>
      </c>
      <c r="J38" s="440">
        <f t="shared" si="17"/>
        <v>0</v>
      </c>
      <c r="K38" s="440">
        <f t="shared" si="17"/>
        <v>0</v>
      </c>
      <c r="L38" s="440">
        <f t="shared" si="17"/>
        <v>0</v>
      </c>
      <c r="M38" s="440">
        <v>780</v>
      </c>
      <c r="N38" s="440">
        <v>211</v>
      </c>
      <c r="O38" s="440">
        <f>SUM(M38:N38)</f>
        <v>991</v>
      </c>
      <c r="P38" s="440">
        <f>S38-M38</f>
        <v>0</v>
      </c>
      <c r="Q38" s="440">
        <f>T38-N38</f>
        <v>0</v>
      </c>
      <c r="R38" s="440">
        <f>U38-O38</f>
        <v>0</v>
      </c>
      <c r="S38" s="440">
        <v>780</v>
      </c>
      <c r="T38" s="440">
        <v>211</v>
      </c>
      <c r="U38" s="440">
        <f>SUM(S38:T38)</f>
        <v>991</v>
      </c>
      <c r="V38" s="440"/>
      <c r="W38" s="440"/>
      <c r="X38" s="440"/>
      <c r="Y38" s="440">
        <v>780</v>
      </c>
      <c r="Z38" s="440">
        <v>211</v>
      </c>
      <c r="AA38" s="440">
        <v>991</v>
      </c>
      <c r="AB38" s="440">
        <f t="shared" si="19"/>
        <v>0</v>
      </c>
      <c r="AC38" s="440">
        <f t="shared" si="19"/>
        <v>0</v>
      </c>
      <c r="AD38" s="440">
        <f t="shared" si="19"/>
        <v>0</v>
      </c>
      <c r="AE38" s="440">
        <v>780</v>
      </c>
      <c r="AF38" s="440">
        <v>211</v>
      </c>
      <c r="AG38" s="440">
        <f t="shared" si="15"/>
        <v>991</v>
      </c>
      <c r="AH38" s="430"/>
      <c r="AI38" s="430"/>
      <c r="AJ38" s="430"/>
      <c r="AK38" s="430"/>
      <c r="AL38" s="430"/>
      <c r="AM38" s="430"/>
      <c r="AN38" s="430"/>
      <c r="AO38" s="430"/>
      <c r="AP38" s="430"/>
      <c r="AQ38" s="430"/>
      <c r="AR38" s="430"/>
      <c r="AS38" s="430"/>
      <c r="AT38" s="430"/>
      <c r="AU38" s="430"/>
      <c r="AV38" s="430"/>
      <c r="AW38" s="430"/>
      <c r="AX38" s="430"/>
      <c r="AY38" s="430"/>
      <c r="AZ38" s="430"/>
      <c r="BA38" s="430"/>
      <c r="BB38" s="430"/>
      <c r="BC38" s="430"/>
      <c r="BD38" s="430"/>
      <c r="BE38" s="430"/>
      <c r="BF38" s="430"/>
      <c r="BG38" s="430"/>
      <c r="BH38" s="430"/>
      <c r="BI38" s="808">
        <f>SUM(I38:I41)</f>
        <v>991</v>
      </c>
      <c r="BJ38" s="808">
        <f>SUM(L38:L40)</f>
        <v>0</v>
      </c>
      <c r="BK38" s="808">
        <f>SUM(O38:O40)</f>
        <v>991</v>
      </c>
      <c r="BL38" s="808">
        <f>SUM(R38:R40)</f>
        <v>12421</v>
      </c>
      <c r="BM38" s="808">
        <f>SUM(U38:U40)</f>
        <v>13412</v>
      </c>
      <c r="BN38" s="808">
        <f>SUM(AD38:AD40)</f>
        <v>0</v>
      </c>
      <c r="BO38" s="808">
        <f>SUM(AA38:AA41)</f>
        <v>13412</v>
      </c>
      <c r="BP38" s="432"/>
      <c r="BQ38" s="808">
        <f>SUM(AG38:AG41)</f>
        <v>13538</v>
      </c>
      <c r="BR38" s="808">
        <f>SUM(AJ38:AJ41)</f>
        <v>0</v>
      </c>
      <c r="BS38" s="808">
        <f>SUM(AM38:AM40)</f>
        <v>0</v>
      </c>
      <c r="BT38" s="808">
        <f>SUM(AP38:AR40)</f>
        <v>0</v>
      </c>
      <c r="BU38" s="808">
        <f>SUM(AS38:AS40)</f>
        <v>0</v>
      </c>
      <c r="BV38" s="808">
        <f>SUM(AV38:AV40)</f>
        <v>0</v>
      </c>
      <c r="BW38" s="808">
        <f>SUM(BE38:BE40)</f>
        <v>0</v>
      </c>
      <c r="BX38" s="808">
        <f>SUM(BB38:BB41)</f>
        <v>0</v>
      </c>
      <c r="BY38" s="432"/>
      <c r="BZ38" s="808">
        <f>SUM(BH38:BH41)</f>
        <v>0</v>
      </c>
      <c r="CA38" s="808">
        <f>SUM(BQ38,BZ38)</f>
        <v>13538</v>
      </c>
      <c r="CB38" s="432">
        <v>780000</v>
      </c>
      <c r="CC38" s="431">
        <v>991</v>
      </c>
      <c r="CD38" s="808">
        <f>SUM(CC38:CC41)</f>
        <v>13538</v>
      </c>
      <c r="CE38" s="422"/>
      <c r="CF38" s="422"/>
      <c r="CG38" s="422"/>
      <c r="CH38" s="422"/>
      <c r="CI38" s="422"/>
      <c r="CJ38" s="422"/>
      <c r="CK38" s="422"/>
      <c r="CL38" s="422"/>
      <c r="CM38" s="422"/>
      <c r="CN38" s="422"/>
      <c r="CO38" s="422"/>
      <c r="CP38" s="422"/>
      <c r="CQ38" s="422"/>
      <c r="CR38" s="422"/>
      <c r="CS38" s="422"/>
      <c r="CT38" s="422"/>
      <c r="CU38" s="422"/>
      <c r="CV38" s="422"/>
      <c r="CW38" s="422"/>
      <c r="CX38" s="422"/>
      <c r="CY38" s="422"/>
      <c r="CZ38" s="422"/>
      <c r="DA38" s="422"/>
      <c r="DB38" s="422"/>
      <c r="DC38" s="422"/>
      <c r="DD38" s="422"/>
      <c r="DE38" s="422"/>
      <c r="DF38" s="422"/>
    </row>
    <row r="39" spans="1:110" s="423" customFormat="1" x14ac:dyDescent="0.2">
      <c r="A39" s="798"/>
      <c r="B39" s="425" t="s">
        <v>1639</v>
      </c>
      <c r="C39" s="426" t="s">
        <v>1286</v>
      </c>
      <c r="D39" s="445"/>
      <c r="E39" s="783"/>
      <c r="F39" s="453" t="s">
        <v>1287</v>
      </c>
      <c r="G39" s="430"/>
      <c r="H39" s="430"/>
      <c r="I39" s="440"/>
      <c r="J39" s="440"/>
      <c r="K39" s="440"/>
      <c r="L39" s="440"/>
      <c r="M39" s="440"/>
      <c r="N39" s="440"/>
      <c r="O39" s="440"/>
      <c r="P39" s="440">
        <f t="shared" ref="P39:R40" si="22">S39-M39</f>
        <v>2630</v>
      </c>
      <c r="Q39" s="440">
        <f t="shared" si="22"/>
        <v>710</v>
      </c>
      <c r="R39" s="440">
        <f t="shared" si="22"/>
        <v>3340</v>
      </c>
      <c r="S39" s="440">
        <v>2630</v>
      </c>
      <c r="T39" s="440">
        <v>710</v>
      </c>
      <c r="U39" s="440">
        <f>SUM(S39:T39)</f>
        <v>3340</v>
      </c>
      <c r="V39" s="440"/>
      <c r="W39" s="440"/>
      <c r="X39" s="440"/>
      <c r="Y39" s="440">
        <v>2630</v>
      </c>
      <c r="Z39" s="440">
        <v>710</v>
      </c>
      <c r="AA39" s="440">
        <v>3340</v>
      </c>
      <c r="AB39" s="440">
        <f t="shared" si="19"/>
        <v>0</v>
      </c>
      <c r="AC39" s="440">
        <f t="shared" si="19"/>
        <v>0</v>
      </c>
      <c r="AD39" s="440">
        <f t="shared" si="19"/>
        <v>0</v>
      </c>
      <c r="AE39" s="442">
        <v>2630</v>
      </c>
      <c r="AF39" s="442">
        <v>710</v>
      </c>
      <c r="AG39" s="440">
        <f t="shared" si="15"/>
        <v>3340</v>
      </c>
      <c r="AH39" s="430"/>
      <c r="AI39" s="430"/>
      <c r="AJ39" s="430"/>
      <c r="AK39" s="430"/>
      <c r="AL39" s="430"/>
      <c r="AM39" s="430"/>
      <c r="AN39" s="430"/>
      <c r="AO39" s="430"/>
      <c r="AP39" s="430"/>
      <c r="AQ39" s="430"/>
      <c r="AR39" s="430"/>
      <c r="AS39" s="430"/>
      <c r="AT39" s="430"/>
      <c r="AU39" s="430"/>
      <c r="AV39" s="430"/>
      <c r="AW39" s="430"/>
      <c r="AX39" s="430"/>
      <c r="AY39" s="430"/>
      <c r="AZ39" s="430"/>
      <c r="BA39" s="430"/>
      <c r="BB39" s="430"/>
      <c r="BC39" s="430"/>
      <c r="BD39" s="430"/>
      <c r="BE39" s="430"/>
      <c r="BF39" s="430"/>
      <c r="BG39" s="430"/>
      <c r="BH39" s="430"/>
      <c r="BI39" s="809"/>
      <c r="BJ39" s="809"/>
      <c r="BK39" s="809"/>
      <c r="BL39" s="809"/>
      <c r="BM39" s="809"/>
      <c r="BN39" s="809"/>
      <c r="BO39" s="809"/>
      <c r="BP39" s="454"/>
      <c r="BQ39" s="809"/>
      <c r="BR39" s="809"/>
      <c r="BS39" s="809"/>
      <c r="BT39" s="809"/>
      <c r="BU39" s="809"/>
      <c r="BV39" s="809"/>
      <c r="BW39" s="809"/>
      <c r="BX39" s="809"/>
      <c r="BY39" s="454"/>
      <c r="BZ39" s="809"/>
      <c r="CA39" s="809"/>
      <c r="CB39" s="432">
        <v>2629732</v>
      </c>
      <c r="CC39" s="431">
        <v>3340</v>
      </c>
      <c r="CD39" s="809"/>
      <c r="CE39" s="422"/>
      <c r="CF39" s="422"/>
      <c r="CG39" s="422"/>
      <c r="CH39" s="422"/>
      <c r="CI39" s="422"/>
      <c r="CJ39" s="422"/>
      <c r="CK39" s="422"/>
      <c r="CL39" s="422"/>
      <c r="CM39" s="422"/>
      <c r="CN39" s="422"/>
      <c r="CO39" s="422"/>
      <c r="CP39" s="422"/>
      <c r="CQ39" s="422"/>
      <c r="CR39" s="422"/>
      <c r="CS39" s="422"/>
      <c r="CT39" s="422"/>
      <c r="CU39" s="422"/>
      <c r="CV39" s="422"/>
      <c r="CW39" s="422"/>
      <c r="CX39" s="422"/>
      <c r="CY39" s="422"/>
      <c r="CZ39" s="422"/>
      <c r="DA39" s="422"/>
      <c r="DB39" s="422"/>
      <c r="DC39" s="422"/>
      <c r="DD39" s="422"/>
      <c r="DE39" s="422"/>
      <c r="DF39" s="422"/>
    </row>
    <row r="40" spans="1:110" s="423" customFormat="1" x14ac:dyDescent="0.2">
      <c r="A40" s="798"/>
      <c r="B40" s="425" t="s">
        <v>1639</v>
      </c>
      <c r="C40" s="426" t="s">
        <v>1288</v>
      </c>
      <c r="D40" s="445"/>
      <c r="E40" s="783"/>
      <c r="F40" s="442" t="s">
        <v>1289</v>
      </c>
      <c r="G40" s="430"/>
      <c r="H40" s="430"/>
      <c r="I40" s="440"/>
      <c r="J40" s="455"/>
      <c r="K40" s="455"/>
      <c r="L40" s="455"/>
      <c r="M40" s="455"/>
      <c r="N40" s="455"/>
      <c r="O40" s="455"/>
      <c r="P40" s="442">
        <f t="shared" si="22"/>
        <v>7150</v>
      </c>
      <c r="Q40" s="442">
        <f t="shared" si="22"/>
        <v>1931</v>
      </c>
      <c r="R40" s="440">
        <f t="shared" si="22"/>
        <v>9081</v>
      </c>
      <c r="S40" s="442">
        <v>7150</v>
      </c>
      <c r="T40" s="442">
        <v>1931</v>
      </c>
      <c r="U40" s="440">
        <f>SUM(S40:T40)</f>
        <v>9081</v>
      </c>
      <c r="V40" s="440"/>
      <c r="W40" s="440"/>
      <c r="X40" s="440"/>
      <c r="Y40" s="440">
        <v>7150</v>
      </c>
      <c r="Z40" s="440">
        <v>1931</v>
      </c>
      <c r="AA40" s="440">
        <v>9081</v>
      </c>
      <c r="AB40" s="440">
        <f t="shared" si="19"/>
        <v>0</v>
      </c>
      <c r="AC40" s="440">
        <f t="shared" si="19"/>
        <v>0</v>
      </c>
      <c r="AD40" s="440">
        <f t="shared" si="19"/>
        <v>0</v>
      </c>
      <c r="AE40" s="442">
        <v>7150</v>
      </c>
      <c r="AF40" s="442">
        <v>1931</v>
      </c>
      <c r="AG40" s="440">
        <f t="shared" si="15"/>
        <v>9081</v>
      </c>
      <c r="AH40" s="432"/>
      <c r="AI40" s="430"/>
      <c r="AJ40" s="430"/>
      <c r="AK40" s="448"/>
      <c r="AL40" s="448"/>
      <c r="AM40" s="448"/>
      <c r="AN40" s="448"/>
      <c r="AO40" s="448"/>
      <c r="AP40" s="448"/>
      <c r="AQ40" s="424"/>
      <c r="AR40" s="424"/>
      <c r="AS40" s="424"/>
      <c r="AT40" s="424"/>
      <c r="AU40" s="424"/>
      <c r="AV40" s="424"/>
      <c r="AW40" s="424"/>
      <c r="AX40" s="424"/>
      <c r="AY40" s="424"/>
      <c r="AZ40" s="424"/>
      <c r="BA40" s="424"/>
      <c r="BB40" s="424"/>
      <c r="BC40" s="424"/>
      <c r="BD40" s="424"/>
      <c r="BE40" s="424"/>
      <c r="BF40" s="424"/>
      <c r="BG40" s="424"/>
      <c r="BH40" s="424"/>
      <c r="BI40" s="809"/>
      <c r="BJ40" s="810"/>
      <c r="BK40" s="810"/>
      <c r="BL40" s="810"/>
      <c r="BM40" s="810"/>
      <c r="BN40" s="810"/>
      <c r="BO40" s="809"/>
      <c r="BP40" s="456"/>
      <c r="BQ40" s="809"/>
      <c r="BR40" s="809"/>
      <c r="BS40" s="810"/>
      <c r="BT40" s="810"/>
      <c r="BU40" s="810"/>
      <c r="BV40" s="810"/>
      <c r="BW40" s="810"/>
      <c r="BX40" s="809"/>
      <c r="BY40" s="456"/>
      <c r="BZ40" s="809"/>
      <c r="CA40" s="809"/>
      <c r="CB40" s="432">
        <v>7150490</v>
      </c>
      <c r="CC40" s="431">
        <v>9081</v>
      </c>
      <c r="CD40" s="809"/>
      <c r="CE40" s="422"/>
      <c r="CF40" s="422"/>
      <c r="CG40" s="422"/>
      <c r="CH40" s="422"/>
      <c r="CI40" s="422"/>
      <c r="CJ40" s="422"/>
      <c r="CK40" s="422"/>
      <c r="CL40" s="422"/>
      <c r="CM40" s="422"/>
      <c r="CN40" s="422"/>
      <c r="CO40" s="422"/>
      <c r="CP40" s="422"/>
      <c r="CQ40" s="422"/>
      <c r="CR40" s="422"/>
      <c r="CS40" s="422"/>
      <c r="CT40" s="422"/>
      <c r="CU40" s="422"/>
      <c r="CV40" s="422"/>
      <c r="CW40" s="422"/>
      <c r="CX40" s="422"/>
      <c r="CY40" s="422"/>
      <c r="CZ40" s="422"/>
      <c r="DA40" s="422"/>
      <c r="DB40" s="422"/>
      <c r="DC40" s="422"/>
      <c r="DD40" s="422"/>
      <c r="DE40" s="422"/>
      <c r="DF40" s="422"/>
    </row>
    <row r="41" spans="1:110" s="423" customFormat="1" ht="22.5" x14ac:dyDescent="0.2">
      <c r="A41" s="806"/>
      <c r="B41" s="425" t="s">
        <v>1639</v>
      </c>
      <c r="C41" s="426" t="s">
        <v>1677</v>
      </c>
      <c r="D41" s="445"/>
      <c r="E41" s="784"/>
      <c r="F41" s="453" t="s">
        <v>1678</v>
      </c>
      <c r="G41" s="430"/>
      <c r="H41" s="430"/>
      <c r="I41" s="440"/>
      <c r="J41" s="455"/>
      <c r="K41" s="455"/>
      <c r="L41" s="455"/>
      <c r="M41" s="455"/>
      <c r="N41" s="455"/>
      <c r="O41" s="455"/>
      <c r="P41" s="442"/>
      <c r="Q41" s="442"/>
      <c r="R41" s="440"/>
      <c r="S41" s="442"/>
      <c r="T41" s="442"/>
      <c r="U41" s="440"/>
      <c r="V41" s="440"/>
      <c r="W41" s="440"/>
      <c r="X41" s="440"/>
      <c r="Y41" s="440"/>
      <c r="Z41" s="440"/>
      <c r="AA41" s="440"/>
      <c r="AB41" s="440">
        <f t="shared" si="19"/>
        <v>99</v>
      </c>
      <c r="AC41" s="440">
        <f t="shared" si="19"/>
        <v>27</v>
      </c>
      <c r="AD41" s="440">
        <f t="shared" si="19"/>
        <v>126</v>
      </c>
      <c r="AE41" s="442">
        <v>99</v>
      </c>
      <c r="AF41" s="442">
        <v>27</v>
      </c>
      <c r="AG41" s="440">
        <f t="shared" si="15"/>
        <v>126</v>
      </c>
      <c r="AH41" s="432"/>
      <c r="AI41" s="430"/>
      <c r="AJ41" s="430"/>
      <c r="AK41" s="448"/>
      <c r="AL41" s="448"/>
      <c r="AM41" s="448"/>
      <c r="AN41" s="448"/>
      <c r="AO41" s="448"/>
      <c r="AP41" s="448"/>
      <c r="AQ41" s="424"/>
      <c r="AR41" s="424"/>
      <c r="AS41" s="424"/>
      <c r="AT41" s="424"/>
      <c r="AU41" s="424"/>
      <c r="AV41" s="424"/>
      <c r="AW41" s="424"/>
      <c r="AX41" s="424"/>
      <c r="AY41" s="424"/>
      <c r="AZ41" s="424"/>
      <c r="BA41" s="424"/>
      <c r="BB41" s="424"/>
      <c r="BC41" s="424"/>
      <c r="BD41" s="424"/>
      <c r="BE41" s="424"/>
      <c r="BF41" s="424"/>
      <c r="BG41" s="424"/>
      <c r="BH41" s="424"/>
      <c r="BI41" s="810"/>
      <c r="BJ41" s="457"/>
      <c r="BK41" s="457"/>
      <c r="BL41" s="457"/>
      <c r="BM41" s="457"/>
      <c r="BN41" s="457"/>
      <c r="BO41" s="810"/>
      <c r="BP41" s="456"/>
      <c r="BQ41" s="810"/>
      <c r="BR41" s="810"/>
      <c r="BS41" s="457"/>
      <c r="BT41" s="457"/>
      <c r="BU41" s="457"/>
      <c r="BV41" s="457"/>
      <c r="BW41" s="457"/>
      <c r="BX41" s="810"/>
      <c r="BY41" s="456"/>
      <c r="BZ41" s="810"/>
      <c r="CA41" s="810"/>
      <c r="CB41" s="432">
        <v>99600</v>
      </c>
      <c r="CC41" s="431">
        <v>126</v>
      </c>
      <c r="CD41" s="810"/>
      <c r="CE41" s="422"/>
      <c r="CF41" s="422"/>
      <c r="CG41" s="422"/>
      <c r="CH41" s="422"/>
      <c r="CI41" s="422"/>
      <c r="CJ41" s="422"/>
      <c r="CK41" s="422"/>
      <c r="CL41" s="422"/>
      <c r="CM41" s="422"/>
      <c r="CN41" s="422"/>
      <c r="CO41" s="422"/>
      <c r="CP41" s="422"/>
      <c r="CQ41" s="422"/>
      <c r="CR41" s="422"/>
      <c r="CS41" s="422"/>
      <c r="CT41" s="422"/>
      <c r="CU41" s="422"/>
      <c r="CV41" s="422"/>
      <c r="CW41" s="422"/>
      <c r="CX41" s="422"/>
      <c r="CY41" s="422"/>
      <c r="CZ41" s="422"/>
      <c r="DA41" s="422"/>
      <c r="DB41" s="422"/>
      <c r="DC41" s="422"/>
      <c r="DD41" s="422"/>
      <c r="DE41" s="422"/>
      <c r="DF41" s="422"/>
    </row>
    <row r="42" spans="1:110" s="423" customFormat="1" ht="92.25" customHeight="1" x14ac:dyDescent="0.2">
      <c r="A42" s="458" t="s">
        <v>1730</v>
      </c>
      <c r="B42" s="425" t="s">
        <v>1639</v>
      </c>
      <c r="C42" s="426" t="s">
        <v>1099</v>
      </c>
      <c r="D42" s="445"/>
      <c r="E42" s="427" t="s">
        <v>1100</v>
      </c>
      <c r="F42" s="441" t="s">
        <v>1679</v>
      </c>
      <c r="G42" s="430">
        <v>1495</v>
      </c>
      <c r="H42" s="430">
        <v>404</v>
      </c>
      <c r="I42" s="440">
        <f t="shared" ref="I42" si="23">SUM(G42:H42)</f>
        <v>1899</v>
      </c>
      <c r="J42" s="447">
        <f t="shared" ref="J42:L42" si="24">M42-G42</f>
        <v>0</v>
      </c>
      <c r="K42" s="447">
        <f t="shared" si="24"/>
        <v>0</v>
      </c>
      <c r="L42" s="447">
        <f t="shared" si="24"/>
        <v>0</v>
      </c>
      <c r="M42" s="440">
        <v>1495</v>
      </c>
      <c r="N42" s="440">
        <v>404</v>
      </c>
      <c r="O42" s="441">
        <f t="shared" ref="O42" si="25">SUM(M42:N42)</f>
        <v>1899</v>
      </c>
      <c r="P42" s="441">
        <f t="shared" ref="P42:R42" si="26">S42-M42</f>
        <v>0</v>
      </c>
      <c r="Q42" s="441">
        <f t="shared" si="26"/>
        <v>0</v>
      </c>
      <c r="R42" s="441">
        <f t="shared" si="26"/>
        <v>0</v>
      </c>
      <c r="S42" s="440">
        <v>1495</v>
      </c>
      <c r="T42" s="440">
        <v>404</v>
      </c>
      <c r="U42" s="441">
        <f t="shared" ref="U42" si="27">SUM(S42:T42)</f>
        <v>1899</v>
      </c>
      <c r="V42" s="441"/>
      <c r="W42" s="441"/>
      <c r="X42" s="441"/>
      <c r="Y42" s="442">
        <v>1495</v>
      </c>
      <c r="Z42" s="442">
        <v>404</v>
      </c>
      <c r="AA42" s="441">
        <v>1899</v>
      </c>
      <c r="AB42" s="440">
        <f t="shared" si="19"/>
        <v>-1495</v>
      </c>
      <c r="AC42" s="440">
        <f t="shared" si="19"/>
        <v>-404</v>
      </c>
      <c r="AD42" s="440">
        <f t="shared" si="19"/>
        <v>-1899</v>
      </c>
      <c r="AE42" s="440">
        <v>0</v>
      </c>
      <c r="AF42" s="440">
        <v>0</v>
      </c>
      <c r="AG42" s="441">
        <f t="shared" si="15"/>
        <v>0</v>
      </c>
      <c r="AH42" s="430"/>
      <c r="AI42" s="430"/>
      <c r="AJ42" s="430"/>
      <c r="AK42" s="448"/>
      <c r="AL42" s="448"/>
      <c r="AM42" s="448"/>
      <c r="AN42" s="448"/>
      <c r="AO42" s="448"/>
      <c r="AP42" s="448"/>
      <c r="AQ42" s="424"/>
      <c r="AR42" s="424"/>
      <c r="AS42" s="424"/>
      <c r="AT42" s="424"/>
      <c r="AU42" s="424"/>
      <c r="AV42" s="424"/>
      <c r="AW42" s="424"/>
      <c r="AX42" s="424"/>
      <c r="AY42" s="424"/>
      <c r="AZ42" s="424"/>
      <c r="BA42" s="424"/>
      <c r="BB42" s="424"/>
      <c r="BC42" s="424"/>
      <c r="BD42" s="424"/>
      <c r="BE42" s="424"/>
      <c r="BF42" s="424"/>
      <c r="BG42" s="424"/>
      <c r="BH42" s="424"/>
      <c r="BI42" s="455">
        <f>SUM(I42)</f>
        <v>1899</v>
      </c>
      <c r="BJ42" s="447">
        <f>SUM(L42)</f>
        <v>0</v>
      </c>
      <c r="BK42" s="447">
        <f>SUM(O42)</f>
        <v>1899</v>
      </c>
      <c r="BL42" s="447">
        <f>SUM(R42)</f>
        <v>0</v>
      </c>
      <c r="BM42" s="447">
        <f>SUM(U42)</f>
        <v>1899</v>
      </c>
      <c r="BN42" s="447">
        <f>SUM(AD42)</f>
        <v>-1899</v>
      </c>
      <c r="BO42" s="447">
        <f>SUM(AA42)</f>
        <v>1899</v>
      </c>
      <c r="BP42" s="447"/>
      <c r="BQ42" s="447">
        <f>SUM(AG42)</f>
        <v>0</v>
      </c>
      <c r="BR42" s="455">
        <f>SUM(AJ42)</f>
        <v>0</v>
      </c>
      <c r="BS42" s="447">
        <f>SUM(AM42)</f>
        <v>0</v>
      </c>
      <c r="BT42" s="447">
        <f>SUM(AP42)</f>
        <v>0</v>
      </c>
      <c r="BU42" s="447">
        <f>SUM(AS42)</f>
        <v>0</v>
      </c>
      <c r="BV42" s="447">
        <f>SUM(AV42)</f>
        <v>0</v>
      </c>
      <c r="BW42" s="447">
        <f>SUM(BE42)</f>
        <v>0</v>
      </c>
      <c r="BX42" s="447">
        <f>SUM(BB42)</f>
        <v>0</v>
      </c>
      <c r="BY42" s="447"/>
      <c r="BZ42" s="447">
        <f>SUM(BH42)</f>
        <v>0</v>
      </c>
      <c r="CA42" s="455">
        <f>SUM(BQ42,BZ42)</f>
        <v>0</v>
      </c>
      <c r="CB42" s="431"/>
      <c r="CC42" s="431">
        <v>0</v>
      </c>
      <c r="CD42" s="455">
        <f>SUM(CC42)</f>
        <v>0</v>
      </c>
      <c r="CE42" s="422"/>
      <c r="CF42" s="422"/>
      <c r="CG42" s="422"/>
      <c r="CH42" s="422"/>
      <c r="CI42" s="422"/>
      <c r="CJ42" s="422"/>
      <c r="CK42" s="422"/>
      <c r="CL42" s="422"/>
      <c r="CM42" s="422"/>
      <c r="CN42" s="422"/>
      <c r="CO42" s="422"/>
      <c r="CP42" s="422"/>
      <c r="CQ42" s="422"/>
      <c r="CR42" s="422"/>
      <c r="CS42" s="422"/>
      <c r="CT42" s="422"/>
      <c r="CU42" s="422"/>
      <c r="CV42" s="422"/>
      <c r="CW42" s="422"/>
      <c r="CX42" s="422"/>
      <c r="CY42" s="422"/>
      <c r="CZ42" s="422"/>
      <c r="DA42" s="422"/>
      <c r="DB42" s="422"/>
      <c r="DC42" s="422"/>
      <c r="DD42" s="422"/>
      <c r="DE42" s="422"/>
      <c r="DF42" s="422"/>
    </row>
    <row r="43" spans="1:110" s="423" customFormat="1" ht="18.75" customHeight="1" collapsed="1" x14ac:dyDescent="0.2">
      <c r="A43" s="812"/>
      <c r="B43" s="812"/>
      <c r="C43" s="812"/>
      <c r="D43" s="812"/>
      <c r="E43" s="459"/>
      <c r="F43" s="447" t="s">
        <v>436</v>
      </c>
      <c r="G43" s="432">
        <f>SUM(G4:G42)</f>
        <v>81913</v>
      </c>
      <c r="H43" s="432">
        <f t="shared" ref="H43:BS43" si="28">SUM(H4:H42)</f>
        <v>20294</v>
      </c>
      <c r="I43" s="432">
        <f t="shared" si="28"/>
        <v>102207</v>
      </c>
      <c r="J43" s="432">
        <f t="shared" si="28"/>
        <v>2492</v>
      </c>
      <c r="K43" s="432">
        <f t="shared" si="28"/>
        <v>189</v>
      </c>
      <c r="L43" s="432">
        <f t="shared" si="28"/>
        <v>2681</v>
      </c>
      <c r="M43" s="432">
        <f t="shared" si="28"/>
        <v>84405</v>
      </c>
      <c r="N43" s="432">
        <f t="shared" si="28"/>
        <v>20483</v>
      </c>
      <c r="O43" s="432">
        <f t="shared" si="28"/>
        <v>104888</v>
      </c>
      <c r="P43" s="432">
        <f t="shared" si="28"/>
        <v>1750</v>
      </c>
      <c r="Q43" s="432">
        <f t="shared" si="28"/>
        <v>504</v>
      </c>
      <c r="R43" s="432">
        <f t="shared" si="28"/>
        <v>2222</v>
      </c>
      <c r="S43" s="432">
        <f t="shared" si="28"/>
        <v>86155</v>
      </c>
      <c r="T43" s="432">
        <f t="shared" si="28"/>
        <v>20955</v>
      </c>
      <c r="U43" s="432">
        <f t="shared" si="28"/>
        <v>107110</v>
      </c>
      <c r="V43" s="432">
        <f t="shared" si="28"/>
        <v>0</v>
      </c>
      <c r="W43" s="432">
        <f t="shared" si="28"/>
        <v>0</v>
      </c>
      <c r="X43" s="432">
        <f t="shared" si="28"/>
        <v>0</v>
      </c>
      <c r="Y43" s="432">
        <f t="shared" si="28"/>
        <v>83215</v>
      </c>
      <c r="Z43" s="432">
        <f t="shared" si="28"/>
        <v>20641</v>
      </c>
      <c r="AA43" s="432">
        <f t="shared" si="28"/>
        <v>103856</v>
      </c>
      <c r="AB43" s="432">
        <f t="shared" si="28"/>
        <v>-55088</v>
      </c>
      <c r="AC43" s="432">
        <f t="shared" si="28"/>
        <v>-14747</v>
      </c>
      <c r="AD43" s="432">
        <f t="shared" si="28"/>
        <v>-42626</v>
      </c>
      <c r="AE43" s="432">
        <f t="shared" si="28"/>
        <v>31067</v>
      </c>
      <c r="AF43" s="432">
        <f t="shared" si="28"/>
        <v>6208</v>
      </c>
      <c r="AG43" s="432">
        <f t="shared" si="28"/>
        <v>60312</v>
      </c>
      <c r="AH43" s="432">
        <f t="shared" si="28"/>
        <v>9934</v>
      </c>
      <c r="AI43" s="432">
        <f t="shared" si="28"/>
        <v>2682</v>
      </c>
      <c r="AJ43" s="432">
        <f t="shared" si="28"/>
        <v>12616</v>
      </c>
      <c r="AK43" s="432">
        <f t="shared" si="28"/>
        <v>10799</v>
      </c>
      <c r="AL43" s="432">
        <f t="shared" si="28"/>
        <v>2916</v>
      </c>
      <c r="AM43" s="432">
        <f t="shared" si="28"/>
        <v>13715</v>
      </c>
      <c r="AN43" s="432">
        <f t="shared" si="28"/>
        <v>20733</v>
      </c>
      <c r="AO43" s="432">
        <f t="shared" si="28"/>
        <v>5598</v>
      </c>
      <c r="AP43" s="432">
        <f t="shared" si="28"/>
        <v>26331</v>
      </c>
      <c r="AQ43" s="432">
        <f t="shared" si="28"/>
        <v>2357</v>
      </c>
      <c r="AR43" s="432">
        <f t="shared" si="28"/>
        <v>636</v>
      </c>
      <c r="AS43" s="432">
        <f t="shared" si="28"/>
        <v>2993</v>
      </c>
      <c r="AT43" s="432">
        <f t="shared" si="28"/>
        <v>23090</v>
      </c>
      <c r="AU43" s="432">
        <f t="shared" si="28"/>
        <v>6234</v>
      </c>
      <c r="AV43" s="432">
        <f t="shared" si="28"/>
        <v>29324</v>
      </c>
      <c r="AW43" s="432">
        <f t="shared" si="28"/>
        <v>0</v>
      </c>
      <c r="AX43" s="432">
        <f t="shared" si="28"/>
        <v>0</v>
      </c>
      <c r="AY43" s="432">
        <f t="shared" si="28"/>
        <v>0</v>
      </c>
      <c r="AZ43" s="432">
        <f t="shared" si="28"/>
        <v>23090</v>
      </c>
      <c r="BA43" s="432">
        <f t="shared" si="28"/>
        <v>6234</v>
      </c>
      <c r="BB43" s="432">
        <f t="shared" si="28"/>
        <v>29324</v>
      </c>
      <c r="BC43" s="432">
        <f t="shared" si="28"/>
        <v>-6804</v>
      </c>
      <c r="BD43" s="432">
        <f t="shared" si="28"/>
        <v>-5771</v>
      </c>
      <c r="BE43" s="432">
        <f t="shared" si="28"/>
        <v>-12575</v>
      </c>
      <c r="BF43" s="432">
        <f t="shared" si="28"/>
        <v>16286</v>
      </c>
      <c r="BG43" s="432">
        <f t="shared" si="28"/>
        <v>463</v>
      </c>
      <c r="BH43" s="432">
        <f t="shared" si="28"/>
        <v>16749</v>
      </c>
      <c r="BI43" s="432">
        <f t="shared" si="28"/>
        <v>102207</v>
      </c>
      <c r="BJ43" s="432">
        <f t="shared" si="28"/>
        <v>1944</v>
      </c>
      <c r="BK43" s="432">
        <f t="shared" si="28"/>
        <v>104151</v>
      </c>
      <c r="BL43" s="432">
        <f t="shared" si="28"/>
        <v>2222</v>
      </c>
      <c r="BM43" s="432">
        <f t="shared" si="28"/>
        <v>106373</v>
      </c>
      <c r="BN43" s="432">
        <f t="shared" si="28"/>
        <v>-43642</v>
      </c>
      <c r="BO43" s="432">
        <f t="shared" si="28"/>
        <v>103856</v>
      </c>
      <c r="BP43" s="432">
        <f t="shared" si="28"/>
        <v>0</v>
      </c>
      <c r="BQ43" s="432">
        <f t="shared" si="28"/>
        <v>60312</v>
      </c>
      <c r="BR43" s="432">
        <f t="shared" si="28"/>
        <v>12616</v>
      </c>
      <c r="BS43" s="432">
        <f t="shared" si="28"/>
        <v>13715</v>
      </c>
      <c r="BT43" s="432">
        <f t="shared" ref="BT43:CB43" si="29">SUM(BT4:BT42)</f>
        <v>26331</v>
      </c>
      <c r="BU43" s="432">
        <f t="shared" si="29"/>
        <v>2993</v>
      </c>
      <c r="BV43" s="432">
        <f t="shared" si="29"/>
        <v>29324</v>
      </c>
      <c r="BW43" s="432">
        <f t="shared" si="29"/>
        <v>-12575</v>
      </c>
      <c r="BX43" s="432">
        <f t="shared" si="29"/>
        <v>29324</v>
      </c>
      <c r="BY43" s="432">
        <f t="shared" si="29"/>
        <v>0</v>
      </c>
      <c r="BZ43" s="432">
        <f t="shared" si="29"/>
        <v>16749</v>
      </c>
      <c r="CA43" s="432">
        <f>SUM(CA4:CA42)</f>
        <v>77061</v>
      </c>
      <c r="CB43" s="432">
        <f t="shared" si="29"/>
        <v>47352894</v>
      </c>
      <c r="CC43" s="432">
        <v>54024</v>
      </c>
      <c r="CD43" s="432">
        <f t="shared" ref="CD43" si="30">SUM(CD4:CD42)</f>
        <v>54024</v>
      </c>
      <c r="CE43" s="422"/>
      <c r="CF43" s="422"/>
      <c r="CG43" s="422"/>
      <c r="CH43" s="422"/>
      <c r="CI43" s="422"/>
      <c r="CJ43" s="422"/>
      <c r="CK43" s="422"/>
      <c r="CL43" s="422"/>
      <c r="CM43" s="422"/>
      <c r="CN43" s="422"/>
      <c r="CO43" s="422"/>
      <c r="CP43" s="422"/>
      <c r="CQ43" s="422"/>
      <c r="CR43" s="422"/>
      <c r="CS43" s="422"/>
      <c r="CT43" s="422"/>
      <c r="CU43" s="422"/>
      <c r="CV43" s="422"/>
      <c r="CW43" s="422"/>
      <c r="CX43" s="422"/>
      <c r="CY43" s="422"/>
      <c r="CZ43" s="422"/>
      <c r="DA43" s="422"/>
      <c r="DB43" s="422"/>
      <c r="DC43" s="422"/>
      <c r="DD43" s="422"/>
      <c r="DE43" s="422"/>
      <c r="DF43" s="422"/>
    </row>
    <row r="44" spans="1:110" x14ac:dyDescent="0.2">
      <c r="A44" s="460"/>
      <c r="C44" s="462"/>
      <c r="D44" s="463"/>
      <c r="E44" s="464"/>
      <c r="G44" s="463"/>
      <c r="H44" s="463"/>
      <c r="I44" s="463"/>
      <c r="J44" s="463"/>
      <c r="K44" s="463"/>
      <c r="L44" s="463"/>
      <c r="M44" s="463"/>
      <c r="N44" s="463"/>
      <c r="O44" s="463"/>
      <c r="P44" s="463"/>
      <c r="Q44" s="463"/>
      <c r="R44" s="463"/>
      <c r="S44" s="463"/>
      <c r="T44" s="463"/>
      <c r="U44" s="463"/>
      <c r="V44" s="463"/>
      <c r="W44" s="463"/>
      <c r="X44" s="463"/>
      <c r="Y44" s="463"/>
      <c r="Z44" s="463"/>
      <c r="AA44" s="463"/>
      <c r="AB44" s="463"/>
      <c r="AC44" s="463"/>
      <c r="AD44" s="463"/>
      <c r="AE44" s="463"/>
      <c r="AF44" s="463"/>
      <c r="AG44" s="463"/>
      <c r="AH44" s="463"/>
      <c r="AI44" s="463"/>
      <c r="AJ44" s="463"/>
      <c r="AK44" s="463"/>
      <c r="AL44" s="463"/>
      <c r="AM44" s="463"/>
      <c r="AN44" s="463"/>
      <c r="AO44" s="463"/>
      <c r="AP44" s="463"/>
      <c r="AQ44" s="463"/>
      <c r="AR44" s="463"/>
      <c r="AS44" s="463"/>
      <c r="AT44" s="463"/>
      <c r="AU44" s="463"/>
      <c r="AV44" s="463"/>
      <c r="AW44" s="463"/>
      <c r="AX44" s="463"/>
      <c r="AY44" s="463"/>
      <c r="AZ44" s="463"/>
      <c r="BA44" s="463"/>
      <c r="BB44" s="463"/>
      <c r="BC44" s="463"/>
      <c r="BD44" s="463"/>
      <c r="BE44" s="463"/>
      <c r="BF44" s="463"/>
      <c r="BG44" s="463"/>
      <c r="BH44" s="463"/>
    </row>
    <row r="45" spans="1:110" x14ac:dyDescent="0.2">
      <c r="A45" s="460"/>
      <c r="C45" s="462"/>
      <c r="D45" s="463"/>
      <c r="E45" s="464"/>
      <c r="G45" s="463"/>
      <c r="H45" s="463"/>
      <c r="I45" s="463"/>
      <c r="J45" s="463"/>
      <c r="K45" s="463"/>
      <c r="L45" s="463"/>
      <c r="M45" s="463"/>
      <c r="N45" s="463"/>
      <c r="O45" s="463"/>
      <c r="P45" s="463"/>
      <c r="Q45" s="463"/>
      <c r="R45" s="463"/>
      <c r="S45" s="463"/>
      <c r="T45" s="463"/>
      <c r="U45" s="463"/>
      <c r="V45" s="463"/>
      <c r="W45" s="463"/>
      <c r="X45" s="463"/>
      <c r="Y45" s="463"/>
      <c r="Z45" s="463"/>
      <c r="AA45" s="463"/>
      <c r="AB45" s="463"/>
      <c r="AC45" s="463"/>
      <c r="AD45" s="463"/>
      <c r="AE45" s="463"/>
      <c r="AF45" s="463"/>
      <c r="AG45" s="463"/>
      <c r="AH45" s="463"/>
      <c r="AI45" s="463"/>
      <c r="AJ45" s="463"/>
      <c r="AK45" s="463"/>
      <c r="AL45" s="463"/>
      <c r="AM45" s="463"/>
      <c r="AN45" s="463"/>
      <c r="AO45" s="463"/>
      <c r="AP45" s="463"/>
      <c r="AQ45" s="463"/>
      <c r="AR45" s="463"/>
      <c r="AS45" s="463"/>
      <c r="AT45" s="463"/>
      <c r="AU45" s="463"/>
      <c r="AV45" s="463"/>
      <c r="AW45" s="463"/>
      <c r="AX45" s="463"/>
      <c r="AY45" s="463"/>
      <c r="AZ45" s="463"/>
      <c r="BA45" s="463"/>
      <c r="BB45" s="463"/>
      <c r="BC45" s="463"/>
      <c r="BD45" s="463"/>
      <c r="BE45" s="463"/>
      <c r="BF45" s="463"/>
      <c r="BG45" s="463"/>
      <c r="BH45" s="463"/>
    </row>
    <row r="46" spans="1:110" x14ac:dyDescent="0.2">
      <c r="A46" s="460"/>
      <c r="C46" s="462"/>
      <c r="D46" s="463"/>
      <c r="E46" s="464"/>
      <c r="G46" s="463"/>
      <c r="H46" s="463"/>
      <c r="I46" s="463"/>
      <c r="J46" s="463"/>
      <c r="K46" s="463"/>
      <c r="L46" s="463"/>
      <c r="M46" s="463"/>
      <c r="N46" s="463"/>
      <c r="O46" s="463"/>
      <c r="P46" s="463"/>
      <c r="Q46" s="463"/>
      <c r="R46" s="463"/>
      <c r="S46" s="463"/>
      <c r="T46" s="463"/>
      <c r="U46" s="463"/>
      <c r="V46" s="463"/>
      <c r="W46" s="463"/>
      <c r="X46" s="463"/>
      <c r="Y46" s="463"/>
      <c r="Z46" s="463"/>
      <c r="AA46" s="463"/>
      <c r="AB46" s="463"/>
      <c r="AC46" s="463"/>
      <c r="AD46" s="463"/>
      <c r="AE46" s="463"/>
      <c r="AF46" s="463"/>
      <c r="AG46" s="463"/>
      <c r="AH46" s="463"/>
      <c r="AI46" s="463"/>
      <c r="AJ46" s="463"/>
      <c r="AK46" s="463"/>
      <c r="AL46" s="463"/>
      <c r="AM46" s="463"/>
      <c r="AN46" s="463"/>
      <c r="AO46" s="463"/>
      <c r="AP46" s="463"/>
      <c r="AQ46" s="463"/>
      <c r="AR46" s="463"/>
      <c r="AS46" s="463"/>
      <c r="AT46" s="463"/>
      <c r="AU46" s="463"/>
      <c r="AV46" s="463"/>
      <c r="AW46" s="463"/>
      <c r="AX46" s="463"/>
      <c r="AY46" s="463"/>
      <c r="AZ46" s="463"/>
      <c r="BA46" s="463"/>
      <c r="BB46" s="463"/>
      <c r="BC46" s="463"/>
      <c r="BD46" s="463"/>
      <c r="BE46" s="463"/>
      <c r="BF46" s="463"/>
      <c r="BG46" s="463"/>
      <c r="BH46" s="463"/>
    </row>
  </sheetData>
  <mergeCells count="216">
    <mergeCell ref="A43:D43"/>
    <mergeCell ref="BU38:BU40"/>
    <mergeCell ref="BV38:BV40"/>
    <mergeCell ref="BW38:BW40"/>
    <mergeCell ref="BX38:BX41"/>
    <mergeCell ref="BZ38:BZ41"/>
    <mergeCell ref="CA38:CA41"/>
    <mergeCell ref="BN38:BN40"/>
    <mergeCell ref="BO38:BO41"/>
    <mergeCell ref="BQ38:BQ41"/>
    <mergeCell ref="BR38:BR41"/>
    <mergeCell ref="BS38:BS40"/>
    <mergeCell ref="BT38:BT40"/>
    <mergeCell ref="CD31:CD37"/>
    <mergeCell ref="A38:A41"/>
    <mergeCell ref="E38:E41"/>
    <mergeCell ref="BI38:BI41"/>
    <mergeCell ref="BJ38:BJ40"/>
    <mergeCell ref="BK38:BK40"/>
    <mergeCell ref="BL38:BL40"/>
    <mergeCell ref="BM38:BM40"/>
    <mergeCell ref="BT31:BT37"/>
    <mergeCell ref="BU31:BU37"/>
    <mergeCell ref="BV31:BV37"/>
    <mergeCell ref="BW31:BW37"/>
    <mergeCell ref="BX31:BX37"/>
    <mergeCell ref="BY31:BY36"/>
    <mergeCell ref="BN31:BN37"/>
    <mergeCell ref="BO31:BO37"/>
    <mergeCell ref="BP31:BP36"/>
    <mergeCell ref="BQ31:BQ37"/>
    <mergeCell ref="BR31:BR37"/>
    <mergeCell ref="BS31:BS37"/>
    <mergeCell ref="CD38:CD41"/>
    <mergeCell ref="BZ23:BZ30"/>
    <mergeCell ref="CA23:CA30"/>
    <mergeCell ref="CD23:CD30"/>
    <mergeCell ref="A31:A37"/>
    <mergeCell ref="E31:E37"/>
    <mergeCell ref="BI31:BI37"/>
    <mergeCell ref="BJ31:BJ37"/>
    <mergeCell ref="BK31:BK37"/>
    <mergeCell ref="BL31:BL37"/>
    <mergeCell ref="BM31:BM37"/>
    <mergeCell ref="BT23:BT30"/>
    <mergeCell ref="BU23:BU29"/>
    <mergeCell ref="BV23:BV30"/>
    <mergeCell ref="BW23:BW30"/>
    <mergeCell ref="BX23:BX30"/>
    <mergeCell ref="BY23:BY30"/>
    <mergeCell ref="BN23:BN30"/>
    <mergeCell ref="BO23:BO30"/>
    <mergeCell ref="BP23:BP30"/>
    <mergeCell ref="BQ23:BQ30"/>
    <mergeCell ref="BR23:BR30"/>
    <mergeCell ref="BS23:BS29"/>
    <mergeCell ref="BZ31:BZ37"/>
    <mergeCell ref="CA31:CA37"/>
    <mergeCell ref="BW21:BW22"/>
    <mergeCell ref="BX21:BX22"/>
    <mergeCell ref="BY21:BY22"/>
    <mergeCell ref="BN21:BN22"/>
    <mergeCell ref="BO21:BO22"/>
    <mergeCell ref="BP21:BP22"/>
    <mergeCell ref="BQ21:BQ22"/>
    <mergeCell ref="BR21:BR22"/>
    <mergeCell ref="BS21:BS22"/>
    <mergeCell ref="A23:A30"/>
    <mergeCell ref="E23:E30"/>
    <mergeCell ref="BI23:BI30"/>
    <mergeCell ref="BJ23:BJ29"/>
    <mergeCell ref="BK23:BK30"/>
    <mergeCell ref="BL23:BL29"/>
    <mergeCell ref="BM23:BM30"/>
    <mergeCell ref="BT21:BT22"/>
    <mergeCell ref="BU21:BU22"/>
    <mergeCell ref="CD19:CD20"/>
    <mergeCell ref="A21:A22"/>
    <mergeCell ref="E21:E22"/>
    <mergeCell ref="BI21:BI22"/>
    <mergeCell ref="BJ21:BJ22"/>
    <mergeCell ref="BK21:BK22"/>
    <mergeCell ref="BL21:BL22"/>
    <mergeCell ref="BM21:BM22"/>
    <mergeCell ref="BT19:BT20"/>
    <mergeCell ref="BU19:BU20"/>
    <mergeCell ref="BV19:BV20"/>
    <mergeCell ref="BW19:BW20"/>
    <mergeCell ref="BX19:BX20"/>
    <mergeCell ref="BY19:BY20"/>
    <mergeCell ref="BN19:BN20"/>
    <mergeCell ref="BO19:BO20"/>
    <mergeCell ref="BP19:BP20"/>
    <mergeCell ref="BQ19:BQ20"/>
    <mergeCell ref="BR19:BR20"/>
    <mergeCell ref="BS19:BS20"/>
    <mergeCell ref="BZ21:BZ22"/>
    <mergeCell ref="CA21:CA22"/>
    <mergeCell ref="CD21:CD22"/>
    <mergeCell ref="BV21:BV22"/>
    <mergeCell ref="BY14:BY18"/>
    <mergeCell ref="BZ14:BZ18"/>
    <mergeCell ref="CA14:CA18"/>
    <mergeCell ref="CD14:CD18"/>
    <mergeCell ref="A19:A20"/>
    <mergeCell ref="BI19:BI20"/>
    <mergeCell ref="BJ19:BJ20"/>
    <mergeCell ref="BK19:BK20"/>
    <mergeCell ref="BL19:BL20"/>
    <mergeCell ref="BM19:BM20"/>
    <mergeCell ref="BS14:BS18"/>
    <mergeCell ref="BT14:BT18"/>
    <mergeCell ref="BU14:BU18"/>
    <mergeCell ref="BV14:BV18"/>
    <mergeCell ref="BW14:BW18"/>
    <mergeCell ref="BX14:BX18"/>
    <mergeCell ref="BM14:BM18"/>
    <mergeCell ref="BN14:BN18"/>
    <mergeCell ref="BO14:BO18"/>
    <mergeCell ref="BP14:BP18"/>
    <mergeCell ref="BQ14:BQ18"/>
    <mergeCell ref="BR14:BR18"/>
    <mergeCell ref="BZ19:BZ20"/>
    <mergeCell ref="CA19:CA20"/>
    <mergeCell ref="BY4:BY13"/>
    <mergeCell ref="BZ4:BZ13"/>
    <mergeCell ref="CA4:CA13"/>
    <mergeCell ref="CD4:CD13"/>
    <mergeCell ref="A14:A18"/>
    <mergeCell ref="E14:E18"/>
    <mergeCell ref="BI14:BI18"/>
    <mergeCell ref="BJ14:BJ18"/>
    <mergeCell ref="BK14:BK18"/>
    <mergeCell ref="BL14:BL18"/>
    <mergeCell ref="BS4:BS13"/>
    <mergeCell ref="BT4:BT13"/>
    <mergeCell ref="BU4:BU13"/>
    <mergeCell ref="BV4:BV13"/>
    <mergeCell ref="BW4:BW13"/>
    <mergeCell ref="BX4:BX13"/>
    <mergeCell ref="BM4:BM13"/>
    <mergeCell ref="BN4:BN13"/>
    <mergeCell ref="BO4:BO13"/>
    <mergeCell ref="BP4:BP13"/>
    <mergeCell ref="BQ4:BQ13"/>
    <mergeCell ref="BR4:BR13"/>
    <mergeCell ref="A4:A13"/>
    <mergeCell ref="E4:E12"/>
    <mergeCell ref="BI4:BI13"/>
    <mergeCell ref="BJ4:BJ13"/>
    <mergeCell ref="BK4:BK13"/>
    <mergeCell ref="BL4:BL13"/>
    <mergeCell ref="AQ2:AS2"/>
    <mergeCell ref="AT2:AV2"/>
    <mergeCell ref="AW2:AY2"/>
    <mergeCell ref="AZ2:BB2"/>
    <mergeCell ref="BC2:BE2"/>
    <mergeCell ref="BF2:BH2"/>
    <mergeCell ref="Y2:AA2"/>
    <mergeCell ref="AB2:AD2"/>
    <mergeCell ref="AE2:AG2"/>
    <mergeCell ref="AH2:AJ2"/>
    <mergeCell ref="AK2:AM2"/>
    <mergeCell ref="AN2:AP2"/>
    <mergeCell ref="CA1:CA3"/>
    <mergeCell ref="CB1:CB3"/>
    <mergeCell ref="CC1:CC3"/>
    <mergeCell ref="BN1:BN3"/>
    <mergeCell ref="AQ1:AS1"/>
    <mergeCell ref="AT1:AV1"/>
    <mergeCell ref="AW1:AY1"/>
    <mergeCell ref="AZ1:BB1"/>
    <mergeCell ref="BC1:BE1"/>
    <mergeCell ref="BF1:BH1"/>
    <mergeCell ref="Y1:AA1"/>
    <mergeCell ref="AB1:AD1"/>
    <mergeCell ref="AE1:AG1"/>
    <mergeCell ref="AH1:AJ1"/>
    <mergeCell ref="AK1:AM1"/>
    <mergeCell ref="AN1:AP1"/>
    <mergeCell ref="CD1:CD3"/>
    <mergeCell ref="G2:I2"/>
    <mergeCell ref="J2:L2"/>
    <mergeCell ref="M2:O2"/>
    <mergeCell ref="P2:R2"/>
    <mergeCell ref="S2:U2"/>
    <mergeCell ref="V2:X2"/>
    <mergeCell ref="BU1:BU3"/>
    <mergeCell ref="BV1:BV3"/>
    <mergeCell ref="BW1:BW3"/>
    <mergeCell ref="BX1:BX3"/>
    <mergeCell ref="BY1:BY3"/>
    <mergeCell ref="BZ1:BZ3"/>
    <mergeCell ref="BO1:BO3"/>
    <mergeCell ref="BP1:BP3"/>
    <mergeCell ref="BQ1:BQ3"/>
    <mergeCell ref="BR1:BR3"/>
    <mergeCell ref="BS1:BS3"/>
    <mergeCell ref="BT1:BT3"/>
    <mergeCell ref="BI1:BI3"/>
    <mergeCell ref="BJ1:BJ3"/>
    <mergeCell ref="BK1:BK3"/>
    <mergeCell ref="BL1:BL3"/>
    <mergeCell ref="BM1:BM3"/>
    <mergeCell ref="G1:I1"/>
    <mergeCell ref="J1:L1"/>
    <mergeCell ref="M1:O1"/>
    <mergeCell ref="P1:R1"/>
    <mergeCell ref="S1:U1"/>
    <mergeCell ref="V1:X1"/>
    <mergeCell ref="A1:A3"/>
    <mergeCell ref="B1:B3"/>
    <mergeCell ref="C1:C3"/>
    <mergeCell ref="D1:D3"/>
    <mergeCell ref="E1:E3"/>
    <mergeCell ref="F1:F3"/>
  </mergeCells>
  <printOptions horizontalCentered="1"/>
  <pageMargins left="3.937007874015748E-2" right="3.937007874015748E-2" top="0.59055118110236227" bottom="0.19685039370078741" header="0.23622047244094491" footer="7.874015748031496E-2"/>
  <pageSetup paperSize="9" scale="60" orientation="landscape" r:id="rId1"/>
  <headerFooter>
    <oddHeader>&amp;LVeresegyház Város Önkormányzat&amp;CFELÚJÍTÁSOK 2014.12.31. BESZÁMOLÓ&amp;R13.1 melléklet
adatok ezer forintban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view="pageBreakPreview" zoomScaleSheetLayoutView="100" zoomScalePageLayoutView="115" workbookViewId="0">
      <selection activeCell="AG25" sqref="AG25"/>
    </sheetView>
  </sheetViews>
  <sheetFormatPr defaultRowHeight="12" outlineLevelCol="1" x14ac:dyDescent="0.2"/>
  <cols>
    <col min="1" max="1" width="10.42578125" style="469" customWidth="1"/>
    <col min="2" max="2" width="11.140625" style="470" customWidth="1"/>
    <col min="3" max="3" width="41.28515625" style="471" customWidth="1"/>
    <col min="4" max="5" width="10.7109375" style="472" hidden="1" customWidth="1" outlineLevel="1"/>
    <col min="6" max="6" width="10.7109375" style="472" customWidth="1" collapsed="1"/>
    <col min="7" max="8" width="10.7109375" style="472" hidden="1" customWidth="1" outlineLevel="1"/>
    <col min="9" max="9" width="10.7109375" style="472" hidden="1" customWidth="1" outlineLevel="1" collapsed="1"/>
    <col min="10" max="11" width="10.7109375" style="472" hidden="1" customWidth="1" outlineLevel="1"/>
    <col min="12" max="12" width="10.7109375" style="472" customWidth="1" collapsed="1"/>
    <col min="13" max="14" width="10.7109375" style="472" hidden="1" customWidth="1" outlineLevel="1"/>
    <col min="15" max="15" width="10.7109375" style="472" customWidth="1" collapsed="1"/>
    <col min="16" max="17" width="10.7109375" style="472" hidden="1" customWidth="1" outlineLevel="1"/>
    <col min="18" max="18" width="10.7109375" style="472" hidden="1" customWidth="1" outlineLevel="1" collapsed="1"/>
    <col min="19" max="20" width="10.7109375" style="472" hidden="1" customWidth="1" outlineLevel="1"/>
    <col min="21" max="21" width="18.28515625" style="472" customWidth="1" collapsed="1"/>
    <col min="22" max="23" width="10.7109375" style="472" hidden="1" customWidth="1" outlineLevel="1"/>
    <col min="24" max="24" width="10.7109375" style="472" customWidth="1" collapsed="1"/>
    <col min="25" max="29" width="10.7109375" style="472" hidden="1" customWidth="1" outlineLevel="1"/>
    <col min="30" max="30" width="10.7109375" style="472" customWidth="1" collapsed="1"/>
    <col min="31" max="32" width="10.7109375" style="472" hidden="1" customWidth="1" outlineLevel="1"/>
    <col min="33" max="33" width="10.7109375" style="472" customWidth="1" collapsed="1"/>
    <col min="34" max="250" width="9.140625" style="472"/>
    <col min="251" max="251" width="10.42578125" style="472" customWidth="1"/>
    <col min="252" max="252" width="11.140625" style="472" customWidth="1"/>
    <col min="253" max="253" width="41.28515625" style="472" customWidth="1"/>
    <col min="254" max="255" width="0" style="472" hidden="1" customWidth="1"/>
    <col min="256" max="256" width="10.7109375" style="472" customWidth="1"/>
    <col min="257" max="258" width="0" style="472" hidden="1" customWidth="1"/>
    <col min="259" max="259" width="10.7109375" style="472" customWidth="1"/>
    <col min="260" max="261" width="0" style="472" hidden="1" customWidth="1"/>
    <col min="262" max="262" width="10.7109375" style="472" customWidth="1"/>
    <col min="263" max="264" width="0" style="472" hidden="1" customWidth="1"/>
    <col min="265" max="265" width="10.7109375" style="472" customWidth="1"/>
    <col min="266" max="267" width="0" style="472" hidden="1" customWidth="1"/>
    <col min="268" max="268" width="10.7109375" style="472" customWidth="1"/>
    <col min="269" max="270" width="0" style="472" hidden="1" customWidth="1"/>
    <col min="271" max="271" width="10.7109375" style="472" customWidth="1"/>
    <col min="272" max="273" width="0" style="472" hidden="1" customWidth="1"/>
    <col min="274" max="274" width="10.7109375" style="472" customWidth="1"/>
    <col min="275" max="276" width="0" style="472" hidden="1" customWidth="1"/>
    <col min="277" max="277" width="10.7109375" style="472" customWidth="1"/>
    <col min="278" max="279" width="0" style="472" hidden="1" customWidth="1"/>
    <col min="280" max="280" width="10.7109375" style="472" customWidth="1"/>
    <col min="281" max="282" width="0" style="472" hidden="1" customWidth="1"/>
    <col min="283" max="283" width="10.7109375" style="472" customWidth="1"/>
    <col min="284" max="285" width="0" style="472" hidden="1" customWidth="1"/>
    <col min="286" max="286" width="10.7109375" style="472" customWidth="1"/>
    <col min="287" max="288" width="0" style="472" hidden="1" customWidth="1"/>
    <col min="289" max="289" width="10.7109375" style="472" customWidth="1"/>
    <col min="290" max="506" width="9.140625" style="472"/>
    <col min="507" max="507" width="10.42578125" style="472" customWidth="1"/>
    <col min="508" max="508" width="11.140625" style="472" customWidth="1"/>
    <col min="509" max="509" width="41.28515625" style="472" customWidth="1"/>
    <col min="510" max="511" width="0" style="472" hidden="1" customWidth="1"/>
    <col min="512" max="512" width="10.7109375" style="472" customWidth="1"/>
    <col min="513" max="514" width="0" style="472" hidden="1" customWidth="1"/>
    <col min="515" max="515" width="10.7109375" style="472" customWidth="1"/>
    <col min="516" max="517" width="0" style="472" hidden="1" customWidth="1"/>
    <col min="518" max="518" width="10.7109375" style="472" customWidth="1"/>
    <col min="519" max="520" width="0" style="472" hidden="1" customWidth="1"/>
    <col min="521" max="521" width="10.7109375" style="472" customWidth="1"/>
    <col min="522" max="523" width="0" style="472" hidden="1" customWidth="1"/>
    <col min="524" max="524" width="10.7109375" style="472" customWidth="1"/>
    <col min="525" max="526" width="0" style="472" hidden="1" customWidth="1"/>
    <col min="527" max="527" width="10.7109375" style="472" customWidth="1"/>
    <col min="528" max="529" width="0" style="472" hidden="1" customWidth="1"/>
    <col min="530" max="530" width="10.7109375" style="472" customWidth="1"/>
    <col min="531" max="532" width="0" style="472" hidden="1" customWidth="1"/>
    <col min="533" max="533" width="10.7109375" style="472" customWidth="1"/>
    <col min="534" max="535" width="0" style="472" hidden="1" customWidth="1"/>
    <col min="536" max="536" width="10.7109375" style="472" customWidth="1"/>
    <col min="537" max="538" width="0" style="472" hidden="1" customWidth="1"/>
    <col min="539" max="539" width="10.7109375" style="472" customWidth="1"/>
    <col min="540" max="541" width="0" style="472" hidden="1" customWidth="1"/>
    <col min="542" max="542" width="10.7109375" style="472" customWidth="1"/>
    <col min="543" max="544" width="0" style="472" hidden="1" customWidth="1"/>
    <col min="545" max="545" width="10.7109375" style="472" customWidth="1"/>
    <col min="546" max="762" width="9.140625" style="472"/>
    <col min="763" max="763" width="10.42578125" style="472" customWidth="1"/>
    <col min="764" max="764" width="11.140625" style="472" customWidth="1"/>
    <col min="765" max="765" width="41.28515625" style="472" customWidth="1"/>
    <col min="766" max="767" width="0" style="472" hidden="1" customWidth="1"/>
    <col min="768" max="768" width="10.7109375" style="472" customWidth="1"/>
    <col min="769" max="770" width="0" style="472" hidden="1" customWidth="1"/>
    <col min="771" max="771" width="10.7109375" style="472" customWidth="1"/>
    <col min="772" max="773" width="0" style="472" hidden="1" customWidth="1"/>
    <col min="774" max="774" width="10.7109375" style="472" customWidth="1"/>
    <col min="775" max="776" width="0" style="472" hidden="1" customWidth="1"/>
    <col min="777" max="777" width="10.7109375" style="472" customWidth="1"/>
    <col min="778" max="779" width="0" style="472" hidden="1" customWidth="1"/>
    <col min="780" max="780" width="10.7109375" style="472" customWidth="1"/>
    <col min="781" max="782" width="0" style="472" hidden="1" customWidth="1"/>
    <col min="783" max="783" width="10.7109375" style="472" customWidth="1"/>
    <col min="784" max="785" width="0" style="472" hidden="1" customWidth="1"/>
    <col min="786" max="786" width="10.7109375" style="472" customWidth="1"/>
    <col min="787" max="788" width="0" style="472" hidden="1" customWidth="1"/>
    <col min="789" max="789" width="10.7109375" style="472" customWidth="1"/>
    <col min="790" max="791" width="0" style="472" hidden="1" customWidth="1"/>
    <col min="792" max="792" width="10.7109375" style="472" customWidth="1"/>
    <col min="793" max="794" width="0" style="472" hidden="1" customWidth="1"/>
    <col min="795" max="795" width="10.7109375" style="472" customWidth="1"/>
    <col min="796" max="797" width="0" style="472" hidden="1" customWidth="1"/>
    <col min="798" max="798" width="10.7109375" style="472" customWidth="1"/>
    <col min="799" max="800" width="0" style="472" hidden="1" customWidth="1"/>
    <col min="801" max="801" width="10.7109375" style="472" customWidth="1"/>
    <col min="802" max="1018" width="9.140625" style="472"/>
    <col min="1019" max="1019" width="10.42578125" style="472" customWidth="1"/>
    <col min="1020" max="1020" width="11.140625" style="472" customWidth="1"/>
    <col min="1021" max="1021" width="41.28515625" style="472" customWidth="1"/>
    <col min="1022" max="1023" width="0" style="472" hidden="1" customWidth="1"/>
    <col min="1024" max="1024" width="10.7109375" style="472" customWidth="1"/>
    <col min="1025" max="1026" width="0" style="472" hidden="1" customWidth="1"/>
    <col min="1027" max="1027" width="10.7109375" style="472" customWidth="1"/>
    <col min="1028" max="1029" width="0" style="472" hidden="1" customWidth="1"/>
    <col min="1030" max="1030" width="10.7109375" style="472" customWidth="1"/>
    <col min="1031" max="1032" width="0" style="472" hidden="1" customWidth="1"/>
    <col min="1033" max="1033" width="10.7109375" style="472" customWidth="1"/>
    <col min="1034" max="1035" width="0" style="472" hidden="1" customWidth="1"/>
    <col min="1036" max="1036" width="10.7109375" style="472" customWidth="1"/>
    <col min="1037" max="1038" width="0" style="472" hidden="1" customWidth="1"/>
    <col min="1039" max="1039" width="10.7109375" style="472" customWidth="1"/>
    <col min="1040" max="1041" width="0" style="472" hidden="1" customWidth="1"/>
    <col min="1042" max="1042" width="10.7109375" style="472" customWidth="1"/>
    <col min="1043" max="1044" width="0" style="472" hidden="1" customWidth="1"/>
    <col min="1045" max="1045" width="10.7109375" style="472" customWidth="1"/>
    <col min="1046" max="1047" width="0" style="472" hidden="1" customWidth="1"/>
    <col min="1048" max="1048" width="10.7109375" style="472" customWidth="1"/>
    <col min="1049" max="1050" width="0" style="472" hidden="1" customWidth="1"/>
    <col min="1051" max="1051" width="10.7109375" style="472" customWidth="1"/>
    <col min="1052" max="1053" width="0" style="472" hidden="1" customWidth="1"/>
    <col min="1054" max="1054" width="10.7109375" style="472" customWidth="1"/>
    <col min="1055" max="1056" width="0" style="472" hidden="1" customWidth="1"/>
    <col min="1057" max="1057" width="10.7109375" style="472" customWidth="1"/>
    <col min="1058" max="1274" width="9.140625" style="472"/>
    <col min="1275" max="1275" width="10.42578125" style="472" customWidth="1"/>
    <col min="1276" max="1276" width="11.140625" style="472" customWidth="1"/>
    <col min="1277" max="1277" width="41.28515625" style="472" customWidth="1"/>
    <col min="1278" max="1279" width="0" style="472" hidden="1" customWidth="1"/>
    <col min="1280" max="1280" width="10.7109375" style="472" customWidth="1"/>
    <col min="1281" max="1282" width="0" style="472" hidden="1" customWidth="1"/>
    <col min="1283" max="1283" width="10.7109375" style="472" customWidth="1"/>
    <col min="1284" max="1285" width="0" style="472" hidden="1" customWidth="1"/>
    <col min="1286" max="1286" width="10.7109375" style="472" customWidth="1"/>
    <col min="1287" max="1288" width="0" style="472" hidden="1" customWidth="1"/>
    <col min="1289" max="1289" width="10.7109375" style="472" customWidth="1"/>
    <col min="1290" max="1291" width="0" style="472" hidden="1" customWidth="1"/>
    <col min="1292" max="1292" width="10.7109375" style="472" customWidth="1"/>
    <col min="1293" max="1294" width="0" style="472" hidden="1" customWidth="1"/>
    <col min="1295" max="1295" width="10.7109375" style="472" customWidth="1"/>
    <col min="1296" max="1297" width="0" style="472" hidden="1" customWidth="1"/>
    <col min="1298" max="1298" width="10.7109375" style="472" customWidth="1"/>
    <col min="1299" max="1300" width="0" style="472" hidden="1" customWidth="1"/>
    <col min="1301" max="1301" width="10.7109375" style="472" customWidth="1"/>
    <col min="1302" max="1303" width="0" style="472" hidden="1" customWidth="1"/>
    <col min="1304" max="1304" width="10.7109375" style="472" customWidth="1"/>
    <col min="1305" max="1306" width="0" style="472" hidden="1" customWidth="1"/>
    <col min="1307" max="1307" width="10.7109375" style="472" customWidth="1"/>
    <col min="1308" max="1309" width="0" style="472" hidden="1" customWidth="1"/>
    <col min="1310" max="1310" width="10.7109375" style="472" customWidth="1"/>
    <col min="1311" max="1312" width="0" style="472" hidden="1" customWidth="1"/>
    <col min="1313" max="1313" width="10.7109375" style="472" customWidth="1"/>
    <col min="1314" max="1530" width="9.140625" style="472"/>
    <col min="1531" max="1531" width="10.42578125" style="472" customWidth="1"/>
    <col min="1532" max="1532" width="11.140625" style="472" customWidth="1"/>
    <col min="1533" max="1533" width="41.28515625" style="472" customWidth="1"/>
    <col min="1534" max="1535" width="0" style="472" hidden="1" customWidth="1"/>
    <col min="1536" max="1536" width="10.7109375" style="472" customWidth="1"/>
    <col min="1537" max="1538" width="0" style="472" hidden="1" customWidth="1"/>
    <col min="1539" max="1539" width="10.7109375" style="472" customWidth="1"/>
    <col min="1540" max="1541" width="0" style="472" hidden="1" customWidth="1"/>
    <col min="1542" max="1542" width="10.7109375" style="472" customWidth="1"/>
    <col min="1543" max="1544" width="0" style="472" hidden="1" customWidth="1"/>
    <col min="1545" max="1545" width="10.7109375" style="472" customWidth="1"/>
    <col min="1546" max="1547" width="0" style="472" hidden="1" customWidth="1"/>
    <col min="1548" max="1548" width="10.7109375" style="472" customWidth="1"/>
    <col min="1549" max="1550" width="0" style="472" hidden="1" customWidth="1"/>
    <col min="1551" max="1551" width="10.7109375" style="472" customWidth="1"/>
    <col min="1552" max="1553" width="0" style="472" hidden="1" customWidth="1"/>
    <col min="1554" max="1554" width="10.7109375" style="472" customWidth="1"/>
    <col min="1555" max="1556" width="0" style="472" hidden="1" customWidth="1"/>
    <col min="1557" max="1557" width="10.7109375" style="472" customWidth="1"/>
    <col min="1558" max="1559" width="0" style="472" hidden="1" customWidth="1"/>
    <col min="1560" max="1560" width="10.7109375" style="472" customWidth="1"/>
    <col min="1561" max="1562" width="0" style="472" hidden="1" customWidth="1"/>
    <col min="1563" max="1563" width="10.7109375" style="472" customWidth="1"/>
    <col min="1564" max="1565" width="0" style="472" hidden="1" customWidth="1"/>
    <col min="1566" max="1566" width="10.7109375" style="472" customWidth="1"/>
    <col min="1567" max="1568" width="0" style="472" hidden="1" customWidth="1"/>
    <col min="1569" max="1569" width="10.7109375" style="472" customWidth="1"/>
    <col min="1570" max="1786" width="9.140625" style="472"/>
    <col min="1787" max="1787" width="10.42578125" style="472" customWidth="1"/>
    <col min="1788" max="1788" width="11.140625" style="472" customWidth="1"/>
    <col min="1789" max="1789" width="41.28515625" style="472" customWidth="1"/>
    <col min="1790" max="1791" width="0" style="472" hidden="1" customWidth="1"/>
    <col min="1792" max="1792" width="10.7109375" style="472" customWidth="1"/>
    <col min="1793" max="1794" width="0" style="472" hidden="1" customWidth="1"/>
    <col min="1795" max="1795" width="10.7109375" style="472" customWidth="1"/>
    <col min="1796" max="1797" width="0" style="472" hidden="1" customWidth="1"/>
    <col min="1798" max="1798" width="10.7109375" style="472" customWidth="1"/>
    <col min="1799" max="1800" width="0" style="472" hidden="1" customWidth="1"/>
    <col min="1801" max="1801" width="10.7109375" style="472" customWidth="1"/>
    <col min="1802" max="1803" width="0" style="472" hidden="1" customWidth="1"/>
    <col min="1804" max="1804" width="10.7109375" style="472" customWidth="1"/>
    <col min="1805" max="1806" width="0" style="472" hidden="1" customWidth="1"/>
    <col min="1807" max="1807" width="10.7109375" style="472" customWidth="1"/>
    <col min="1808" max="1809" width="0" style="472" hidden="1" customWidth="1"/>
    <col min="1810" max="1810" width="10.7109375" style="472" customWidth="1"/>
    <col min="1811" max="1812" width="0" style="472" hidden="1" customWidth="1"/>
    <col min="1813" max="1813" width="10.7109375" style="472" customWidth="1"/>
    <col min="1814" max="1815" width="0" style="472" hidden="1" customWidth="1"/>
    <col min="1816" max="1816" width="10.7109375" style="472" customWidth="1"/>
    <col min="1817" max="1818" width="0" style="472" hidden="1" customWidth="1"/>
    <col min="1819" max="1819" width="10.7109375" style="472" customWidth="1"/>
    <col min="1820" max="1821" width="0" style="472" hidden="1" customWidth="1"/>
    <col min="1822" max="1822" width="10.7109375" style="472" customWidth="1"/>
    <col min="1823" max="1824" width="0" style="472" hidden="1" customWidth="1"/>
    <col min="1825" max="1825" width="10.7109375" style="472" customWidth="1"/>
    <col min="1826" max="2042" width="9.140625" style="472"/>
    <col min="2043" max="2043" width="10.42578125" style="472" customWidth="1"/>
    <col min="2044" max="2044" width="11.140625" style="472" customWidth="1"/>
    <col min="2045" max="2045" width="41.28515625" style="472" customWidth="1"/>
    <col min="2046" max="2047" width="0" style="472" hidden="1" customWidth="1"/>
    <col min="2048" max="2048" width="10.7109375" style="472" customWidth="1"/>
    <col min="2049" max="2050" width="0" style="472" hidden="1" customWidth="1"/>
    <col min="2051" max="2051" width="10.7109375" style="472" customWidth="1"/>
    <col min="2052" max="2053" width="0" style="472" hidden="1" customWidth="1"/>
    <col min="2054" max="2054" width="10.7109375" style="472" customWidth="1"/>
    <col min="2055" max="2056" width="0" style="472" hidden="1" customWidth="1"/>
    <col min="2057" max="2057" width="10.7109375" style="472" customWidth="1"/>
    <col min="2058" max="2059" width="0" style="472" hidden="1" customWidth="1"/>
    <col min="2060" max="2060" width="10.7109375" style="472" customWidth="1"/>
    <col min="2061" max="2062" width="0" style="472" hidden="1" customWidth="1"/>
    <col min="2063" max="2063" width="10.7109375" style="472" customWidth="1"/>
    <col min="2064" max="2065" width="0" style="472" hidden="1" customWidth="1"/>
    <col min="2066" max="2066" width="10.7109375" style="472" customWidth="1"/>
    <col min="2067" max="2068" width="0" style="472" hidden="1" customWidth="1"/>
    <col min="2069" max="2069" width="10.7109375" style="472" customWidth="1"/>
    <col min="2070" max="2071" width="0" style="472" hidden="1" customWidth="1"/>
    <col min="2072" max="2072" width="10.7109375" style="472" customWidth="1"/>
    <col min="2073" max="2074" width="0" style="472" hidden="1" customWidth="1"/>
    <col min="2075" max="2075" width="10.7109375" style="472" customWidth="1"/>
    <col min="2076" max="2077" width="0" style="472" hidden="1" customWidth="1"/>
    <col min="2078" max="2078" width="10.7109375" style="472" customWidth="1"/>
    <col min="2079" max="2080" width="0" style="472" hidden="1" customWidth="1"/>
    <col min="2081" max="2081" width="10.7109375" style="472" customWidth="1"/>
    <col min="2082" max="2298" width="9.140625" style="472"/>
    <col min="2299" max="2299" width="10.42578125" style="472" customWidth="1"/>
    <col min="2300" max="2300" width="11.140625" style="472" customWidth="1"/>
    <col min="2301" max="2301" width="41.28515625" style="472" customWidth="1"/>
    <col min="2302" max="2303" width="0" style="472" hidden="1" customWidth="1"/>
    <col min="2304" max="2304" width="10.7109375" style="472" customWidth="1"/>
    <col min="2305" max="2306" width="0" style="472" hidden="1" customWidth="1"/>
    <col min="2307" max="2307" width="10.7109375" style="472" customWidth="1"/>
    <col min="2308" max="2309" width="0" style="472" hidden="1" customWidth="1"/>
    <col min="2310" max="2310" width="10.7109375" style="472" customWidth="1"/>
    <col min="2311" max="2312" width="0" style="472" hidden="1" customWidth="1"/>
    <col min="2313" max="2313" width="10.7109375" style="472" customWidth="1"/>
    <col min="2314" max="2315" width="0" style="472" hidden="1" customWidth="1"/>
    <col min="2316" max="2316" width="10.7109375" style="472" customWidth="1"/>
    <col min="2317" max="2318" width="0" style="472" hidden="1" customWidth="1"/>
    <col min="2319" max="2319" width="10.7109375" style="472" customWidth="1"/>
    <col min="2320" max="2321" width="0" style="472" hidden="1" customWidth="1"/>
    <col min="2322" max="2322" width="10.7109375" style="472" customWidth="1"/>
    <col min="2323" max="2324" width="0" style="472" hidden="1" customWidth="1"/>
    <col min="2325" max="2325" width="10.7109375" style="472" customWidth="1"/>
    <col min="2326" max="2327" width="0" style="472" hidden="1" customWidth="1"/>
    <col min="2328" max="2328" width="10.7109375" style="472" customWidth="1"/>
    <col min="2329" max="2330" width="0" style="472" hidden="1" customWidth="1"/>
    <col min="2331" max="2331" width="10.7109375" style="472" customWidth="1"/>
    <col min="2332" max="2333" width="0" style="472" hidden="1" customWidth="1"/>
    <col min="2334" max="2334" width="10.7109375" style="472" customWidth="1"/>
    <col min="2335" max="2336" width="0" style="472" hidden="1" customWidth="1"/>
    <col min="2337" max="2337" width="10.7109375" style="472" customWidth="1"/>
    <col min="2338" max="2554" width="9.140625" style="472"/>
    <col min="2555" max="2555" width="10.42578125" style="472" customWidth="1"/>
    <col min="2556" max="2556" width="11.140625" style="472" customWidth="1"/>
    <col min="2557" max="2557" width="41.28515625" style="472" customWidth="1"/>
    <col min="2558" max="2559" width="0" style="472" hidden="1" customWidth="1"/>
    <col min="2560" max="2560" width="10.7109375" style="472" customWidth="1"/>
    <col min="2561" max="2562" width="0" style="472" hidden="1" customWidth="1"/>
    <col min="2563" max="2563" width="10.7109375" style="472" customWidth="1"/>
    <col min="2564" max="2565" width="0" style="472" hidden="1" customWidth="1"/>
    <col min="2566" max="2566" width="10.7109375" style="472" customWidth="1"/>
    <col min="2567" max="2568" width="0" style="472" hidden="1" customWidth="1"/>
    <col min="2569" max="2569" width="10.7109375" style="472" customWidth="1"/>
    <col min="2570" max="2571" width="0" style="472" hidden="1" customWidth="1"/>
    <col min="2572" max="2572" width="10.7109375" style="472" customWidth="1"/>
    <col min="2573" max="2574" width="0" style="472" hidden="1" customWidth="1"/>
    <col min="2575" max="2575" width="10.7109375" style="472" customWidth="1"/>
    <col min="2576" max="2577" width="0" style="472" hidden="1" customWidth="1"/>
    <col min="2578" max="2578" width="10.7109375" style="472" customWidth="1"/>
    <col min="2579" max="2580" width="0" style="472" hidden="1" customWidth="1"/>
    <col min="2581" max="2581" width="10.7109375" style="472" customWidth="1"/>
    <col min="2582" max="2583" width="0" style="472" hidden="1" customWidth="1"/>
    <col min="2584" max="2584" width="10.7109375" style="472" customWidth="1"/>
    <col min="2585" max="2586" width="0" style="472" hidden="1" customWidth="1"/>
    <col min="2587" max="2587" width="10.7109375" style="472" customWidth="1"/>
    <col min="2588" max="2589" width="0" style="472" hidden="1" customWidth="1"/>
    <col min="2590" max="2590" width="10.7109375" style="472" customWidth="1"/>
    <col min="2591" max="2592" width="0" style="472" hidden="1" customWidth="1"/>
    <col min="2593" max="2593" width="10.7109375" style="472" customWidth="1"/>
    <col min="2594" max="2810" width="9.140625" style="472"/>
    <col min="2811" max="2811" width="10.42578125" style="472" customWidth="1"/>
    <col min="2812" max="2812" width="11.140625" style="472" customWidth="1"/>
    <col min="2813" max="2813" width="41.28515625" style="472" customWidth="1"/>
    <col min="2814" max="2815" width="0" style="472" hidden="1" customWidth="1"/>
    <col min="2816" max="2816" width="10.7109375" style="472" customWidth="1"/>
    <col min="2817" max="2818" width="0" style="472" hidden="1" customWidth="1"/>
    <col min="2819" max="2819" width="10.7109375" style="472" customWidth="1"/>
    <col min="2820" max="2821" width="0" style="472" hidden="1" customWidth="1"/>
    <col min="2822" max="2822" width="10.7109375" style="472" customWidth="1"/>
    <col min="2823" max="2824" width="0" style="472" hidden="1" customWidth="1"/>
    <col min="2825" max="2825" width="10.7109375" style="472" customWidth="1"/>
    <col min="2826" max="2827" width="0" style="472" hidden="1" customWidth="1"/>
    <col min="2828" max="2828" width="10.7109375" style="472" customWidth="1"/>
    <col min="2829" max="2830" width="0" style="472" hidden="1" customWidth="1"/>
    <col min="2831" max="2831" width="10.7109375" style="472" customWidth="1"/>
    <col min="2832" max="2833" width="0" style="472" hidden="1" customWidth="1"/>
    <col min="2834" max="2834" width="10.7109375" style="472" customWidth="1"/>
    <col min="2835" max="2836" width="0" style="472" hidden="1" customWidth="1"/>
    <col min="2837" max="2837" width="10.7109375" style="472" customWidth="1"/>
    <col min="2838" max="2839" width="0" style="472" hidden="1" customWidth="1"/>
    <col min="2840" max="2840" width="10.7109375" style="472" customWidth="1"/>
    <col min="2841" max="2842" width="0" style="472" hidden="1" customWidth="1"/>
    <col min="2843" max="2843" width="10.7109375" style="472" customWidth="1"/>
    <col min="2844" max="2845" width="0" style="472" hidden="1" customWidth="1"/>
    <col min="2846" max="2846" width="10.7109375" style="472" customWidth="1"/>
    <col min="2847" max="2848" width="0" style="472" hidden="1" customWidth="1"/>
    <col min="2849" max="2849" width="10.7109375" style="472" customWidth="1"/>
    <col min="2850" max="3066" width="9.140625" style="472"/>
    <col min="3067" max="3067" width="10.42578125" style="472" customWidth="1"/>
    <col min="3068" max="3068" width="11.140625" style="472" customWidth="1"/>
    <col min="3069" max="3069" width="41.28515625" style="472" customWidth="1"/>
    <col min="3070" max="3071" width="0" style="472" hidden="1" customWidth="1"/>
    <col min="3072" max="3072" width="10.7109375" style="472" customWidth="1"/>
    <col min="3073" max="3074" width="0" style="472" hidden="1" customWidth="1"/>
    <col min="3075" max="3075" width="10.7109375" style="472" customWidth="1"/>
    <col min="3076" max="3077" width="0" style="472" hidden="1" customWidth="1"/>
    <col min="3078" max="3078" width="10.7109375" style="472" customWidth="1"/>
    <col min="3079" max="3080" width="0" style="472" hidden="1" customWidth="1"/>
    <col min="3081" max="3081" width="10.7109375" style="472" customWidth="1"/>
    <col min="3082" max="3083" width="0" style="472" hidden="1" customWidth="1"/>
    <col min="3084" max="3084" width="10.7109375" style="472" customWidth="1"/>
    <col min="3085" max="3086" width="0" style="472" hidden="1" customWidth="1"/>
    <col min="3087" max="3087" width="10.7109375" style="472" customWidth="1"/>
    <col min="3088" max="3089" width="0" style="472" hidden="1" customWidth="1"/>
    <col min="3090" max="3090" width="10.7109375" style="472" customWidth="1"/>
    <col min="3091" max="3092" width="0" style="472" hidden="1" customWidth="1"/>
    <col min="3093" max="3093" width="10.7109375" style="472" customWidth="1"/>
    <col min="3094" max="3095" width="0" style="472" hidden="1" customWidth="1"/>
    <col min="3096" max="3096" width="10.7109375" style="472" customWidth="1"/>
    <col min="3097" max="3098" width="0" style="472" hidden="1" customWidth="1"/>
    <col min="3099" max="3099" width="10.7109375" style="472" customWidth="1"/>
    <col min="3100" max="3101" width="0" style="472" hidden="1" customWidth="1"/>
    <col min="3102" max="3102" width="10.7109375" style="472" customWidth="1"/>
    <col min="3103" max="3104" width="0" style="472" hidden="1" customWidth="1"/>
    <col min="3105" max="3105" width="10.7109375" style="472" customWidth="1"/>
    <col min="3106" max="3322" width="9.140625" style="472"/>
    <col min="3323" max="3323" width="10.42578125" style="472" customWidth="1"/>
    <col min="3324" max="3324" width="11.140625" style="472" customWidth="1"/>
    <col min="3325" max="3325" width="41.28515625" style="472" customWidth="1"/>
    <col min="3326" max="3327" width="0" style="472" hidden="1" customWidth="1"/>
    <col min="3328" max="3328" width="10.7109375" style="472" customWidth="1"/>
    <col min="3329" max="3330" width="0" style="472" hidden="1" customWidth="1"/>
    <col min="3331" max="3331" width="10.7109375" style="472" customWidth="1"/>
    <col min="3332" max="3333" width="0" style="472" hidden="1" customWidth="1"/>
    <col min="3334" max="3334" width="10.7109375" style="472" customWidth="1"/>
    <col min="3335" max="3336" width="0" style="472" hidden="1" customWidth="1"/>
    <col min="3337" max="3337" width="10.7109375" style="472" customWidth="1"/>
    <col min="3338" max="3339" width="0" style="472" hidden="1" customWidth="1"/>
    <col min="3340" max="3340" width="10.7109375" style="472" customWidth="1"/>
    <col min="3341" max="3342" width="0" style="472" hidden="1" customWidth="1"/>
    <col min="3343" max="3343" width="10.7109375" style="472" customWidth="1"/>
    <col min="3344" max="3345" width="0" style="472" hidden="1" customWidth="1"/>
    <col min="3346" max="3346" width="10.7109375" style="472" customWidth="1"/>
    <col min="3347" max="3348" width="0" style="472" hidden="1" customWidth="1"/>
    <col min="3349" max="3349" width="10.7109375" style="472" customWidth="1"/>
    <col min="3350" max="3351" width="0" style="472" hidden="1" customWidth="1"/>
    <col min="3352" max="3352" width="10.7109375" style="472" customWidth="1"/>
    <col min="3353" max="3354" width="0" style="472" hidden="1" customWidth="1"/>
    <col min="3355" max="3355" width="10.7109375" style="472" customWidth="1"/>
    <col min="3356" max="3357" width="0" style="472" hidden="1" customWidth="1"/>
    <col min="3358" max="3358" width="10.7109375" style="472" customWidth="1"/>
    <col min="3359" max="3360" width="0" style="472" hidden="1" customWidth="1"/>
    <col min="3361" max="3361" width="10.7109375" style="472" customWidth="1"/>
    <col min="3362" max="3578" width="9.140625" style="472"/>
    <col min="3579" max="3579" width="10.42578125" style="472" customWidth="1"/>
    <col min="3580" max="3580" width="11.140625" style="472" customWidth="1"/>
    <col min="3581" max="3581" width="41.28515625" style="472" customWidth="1"/>
    <col min="3582" max="3583" width="0" style="472" hidden="1" customWidth="1"/>
    <col min="3584" max="3584" width="10.7109375" style="472" customWidth="1"/>
    <col min="3585" max="3586" width="0" style="472" hidden="1" customWidth="1"/>
    <col min="3587" max="3587" width="10.7109375" style="472" customWidth="1"/>
    <col min="3588" max="3589" width="0" style="472" hidden="1" customWidth="1"/>
    <col min="3590" max="3590" width="10.7109375" style="472" customWidth="1"/>
    <col min="3591" max="3592" width="0" style="472" hidden="1" customWidth="1"/>
    <col min="3593" max="3593" width="10.7109375" style="472" customWidth="1"/>
    <col min="3594" max="3595" width="0" style="472" hidden="1" customWidth="1"/>
    <col min="3596" max="3596" width="10.7109375" style="472" customWidth="1"/>
    <col min="3597" max="3598" width="0" style="472" hidden="1" customWidth="1"/>
    <col min="3599" max="3599" width="10.7109375" style="472" customWidth="1"/>
    <col min="3600" max="3601" width="0" style="472" hidden="1" customWidth="1"/>
    <col min="3602" max="3602" width="10.7109375" style="472" customWidth="1"/>
    <col min="3603" max="3604" width="0" style="472" hidden="1" customWidth="1"/>
    <col min="3605" max="3605" width="10.7109375" style="472" customWidth="1"/>
    <col min="3606" max="3607" width="0" style="472" hidden="1" customWidth="1"/>
    <col min="3608" max="3608" width="10.7109375" style="472" customWidth="1"/>
    <col min="3609" max="3610" width="0" style="472" hidden="1" customWidth="1"/>
    <col min="3611" max="3611" width="10.7109375" style="472" customWidth="1"/>
    <col min="3612" max="3613" width="0" style="472" hidden="1" customWidth="1"/>
    <col min="3614" max="3614" width="10.7109375" style="472" customWidth="1"/>
    <col min="3615" max="3616" width="0" style="472" hidden="1" customWidth="1"/>
    <col min="3617" max="3617" width="10.7109375" style="472" customWidth="1"/>
    <col min="3618" max="3834" width="9.140625" style="472"/>
    <col min="3835" max="3835" width="10.42578125" style="472" customWidth="1"/>
    <col min="3836" max="3836" width="11.140625" style="472" customWidth="1"/>
    <col min="3837" max="3837" width="41.28515625" style="472" customWidth="1"/>
    <col min="3838" max="3839" width="0" style="472" hidden="1" customWidth="1"/>
    <col min="3840" max="3840" width="10.7109375" style="472" customWidth="1"/>
    <col min="3841" max="3842" width="0" style="472" hidden="1" customWidth="1"/>
    <col min="3843" max="3843" width="10.7109375" style="472" customWidth="1"/>
    <col min="3844" max="3845" width="0" style="472" hidden="1" customWidth="1"/>
    <col min="3846" max="3846" width="10.7109375" style="472" customWidth="1"/>
    <col min="3847" max="3848" width="0" style="472" hidden="1" customWidth="1"/>
    <col min="3849" max="3849" width="10.7109375" style="472" customWidth="1"/>
    <col min="3850" max="3851" width="0" style="472" hidden="1" customWidth="1"/>
    <col min="3852" max="3852" width="10.7109375" style="472" customWidth="1"/>
    <col min="3853" max="3854" width="0" style="472" hidden="1" customWidth="1"/>
    <col min="3855" max="3855" width="10.7109375" style="472" customWidth="1"/>
    <col min="3856" max="3857" width="0" style="472" hidden="1" customWidth="1"/>
    <col min="3858" max="3858" width="10.7109375" style="472" customWidth="1"/>
    <col min="3859" max="3860" width="0" style="472" hidden="1" customWidth="1"/>
    <col min="3861" max="3861" width="10.7109375" style="472" customWidth="1"/>
    <col min="3862" max="3863" width="0" style="472" hidden="1" customWidth="1"/>
    <col min="3864" max="3864" width="10.7109375" style="472" customWidth="1"/>
    <col min="3865" max="3866" width="0" style="472" hidden="1" customWidth="1"/>
    <col min="3867" max="3867" width="10.7109375" style="472" customWidth="1"/>
    <col min="3868" max="3869" width="0" style="472" hidden="1" customWidth="1"/>
    <col min="3870" max="3870" width="10.7109375" style="472" customWidth="1"/>
    <col min="3871" max="3872" width="0" style="472" hidden="1" customWidth="1"/>
    <col min="3873" max="3873" width="10.7109375" style="472" customWidth="1"/>
    <col min="3874" max="4090" width="9.140625" style="472"/>
    <col min="4091" max="4091" width="10.42578125" style="472" customWidth="1"/>
    <col min="4092" max="4092" width="11.140625" style="472" customWidth="1"/>
    <col min="4093" max="4093" width="41.28515625" style="472" customWidth="1"/>
    <col min="4094" max="4095" width="0" style="472" hidden="1" customWidth="1"/>
    <col min="4096" max="4096" width="10.7109375" style="472" customWidth="1"/>
    <col min="4097" max="4098" width="0" style="472" hidden="1" customWidth="1"/>
    <col min="4099" max="4099" width="10.7109375" style="472" customWidth="1"/>
    <col min="4100" max="4101" width="0" style="472" hidden="1" customWidth="1"/>
    <col min="4102" max="4102" width="10.7109375" style="472" customWidth="1"/>
    <col min="4103" max="4104" width="0" style="472" hidden="1" customWidth="1"/>
    <col min="4105" max="4105" width="10.7109375" style="472" customWidth="1"/>
    <col min="4106" max="4107" width="0" style="472" hidden="1" customWidth="1"/>
    <col min="4108" max="4108" width="10.7109375" style="472" customWidth="1"/>
    <col min="4109" max="4110" width="0" style="472" hidden="1" customWidth="1"/>
    <col min="4111" max="4111" width="10.7109375" style="472" customWidth="1"/>
    <col min="4112" max="4113" width="0" style="472" hidden="1" customWidth="1"/>
    <col min="4114" max="4114" width="10.7109375" style="472" customWidth="1"/>
    <col min="4115" max="4116" width="0" style="472" hidden="1" customWidth="1"/>
    <col min="4117" max="4117" width="10.7109375" style="472" customWidth="1"/>
    <col min="4118" max="4119" width="0" style="472" hidden="1" customWidth="1"/>
    <col min="4120" max="4120" width="10.7109375" style="472" customWidth="1"/>
    <col min="4121" max="4122" width="0" style="472" hidden="1" customWidth="1"/>
    <col min="4123" max="4123" width="10.7109375" style="472" customWidth="1"/>
    <col min="4124" max="4125" width="0" style="472" hidden="1" customWidth="1"/>
    <col min="4126" max="4126" width="10.7109375" style="472" customWidth="1"/>
    <col min="4127" max="4128" width="0" style="472" hidden="1" customWidth="1"/>
    <col min="4129" max="4129" width="10.7109375" style="472" customWidth="1"/>
    <col min="4130" max="4346" width="9.140625" style="472"/>
    <col min="4347" max="4347" width="10.42578125" style="472" customWidth="1"/>
    <col min="4348" max="4348" width="11.140625" style="472" customWidth="1"/>
    <col min="4349" max="4349" width="41.28515625" style="472" customWidth="1"/>
    <col min="4350" max="4351" width="0" style="472" hidden="1" customWidth="1"/>
    <col min="4352" max="4352" width="10.7109375" style="472" customWidth="1"/>
    <col min="4353" max="4354" width="0" style="472" hidden="1" customWidth="1"/>
    <col min="4355" max="4355" width="10.7109375" style="472" customWidth="1"/>
    <col min="4356" max="4357" width="0" style="472" hidden="1" customWidth="1"/>
    <col min="4358" max="4358" width="10.7109375" style="472" customWidth="1"/>
    <col min="4359" max="4360" width="0" style="472" hidden="1" customWidth="1"/>
    <col min="4361" max="4361" width="10.7109375" style="472" customWidth="1"/>
    <col min="4362" max="4363" width="0" style="472" hidden="1" customWidth="1"/>
    <col min="4364" max="4364" width="10.7109375" style="472" customWidth="1"/>
    <col min="4365" max="4366" width="0" style="472" hidden="1" customWidth="1"/>
    <col min="4367" max="4367" width="10.7109375" style="472" customWidth="1"/>
    <col min="4368" max="4369" width="0" style="472" hidden="1" customWidth="1"/>
    <col min="4370" max="4370" width="10.7109375" style="472" customWidth="1"/>
    <col min="4371" max="4372" width="0" style="472" hidden="1" customWidth="1"/>
    <col min="4373" max="4373" width="10.7109375" style="472" customWidth="1"/>
    <col min="4374" max="4375" width="0" style="472" hidden="1" customWidth="1"/>
    <col min="4376" max="4376" width="10.7109375" style="472" customWidth="1"/>
    <col min="4377" max="4378" width="0" style="472" hidden="1" customWidth="1"/>
    <col min="4379" max="4379" width="10.7109375" style="472" customWidth="1"/>
    <col min="4380" max="4381" width="0" style="472" hidden="1" customWidth="1"/>
    <col min="4382" max="4382" width="10.7109375" style="472" customWidth="1"/>
    <col min="4383" max="4384" width="0" style="472" hidden="1" customWidth="1"/>
    <col min="4385" max="4385" width="10.7109375" style="472" customWidth="1"/>
    <col min="4386" max="4602" width="9.140625" style="472"/>
    <col min="4603" max="4603" width="10.42578125" style="472" customWidth="1"/>
    <col min="4604" max="4604" width="11.140625" style="472" customWidth="1"/>
    <col min="4605" max="4605" width="41.28515625" style="472" customWidth="1"/>
    <col min="4606" max="4607" width="0" style="472" hidden="1" customWidth="1"/>
    <col min="4608" max="4608" width="10.7109375" style="472" customWidth="1"/>
    <col min="4609" max="4610" width="0" style="472" hidden="1" customWidth="1"/>
    <col min="4611" max="4611" width="10.7109375" style="472" customWidth="1"/>
    <col min="4612" max="4613" width="0" style="472" hidden="1" customWidth="1"/>
    <col min="4614" max="4614" width="10.7109375" style="472" customWidth="1"/>
    <col min="4615" max="4616" width="0" style="472" hidden="1" customWidth="1"/>
    <col min="4617" max="4617" width="10.7109375" style="472" customWidth="1"/>
    <col min="4618" max="4619" width="0" style="472" hidden="1" customWidth="1"/>
    <col min="4620" max="4620" width="10.7109375" style="472" customWidth="1"/>
    <col min="4621" max="4622" width="0" style="472" hidden="1" customWidth="1"/>
    <col min="4623" max="4623" width="10.7109375" style="472" customWidth="1"/>
    <col min="4624" max="4625" width="0" style="472" hidden="1" customWidth="1"/>
    <col min="4626" max="4626" width="10.7109375" style="472" customWidth="1"/>
    <col min="4627" max="4628" width="0" style="472" hidden="1" customWidth="1"/>
    <col min="4629" max="4629" width="10.7109375" style="472" customWidth="1"/>
    <col min="4630" max="4631" width="0" style="472" hidden="1" customWidth="1"/>
    <col min="4632" max="4632" width="10.7109375" style="472" customWidth="1"/>
    <col min="4633" max="4634" width="0" style="472" hidden="1" customWidth="1"/>
    <col min="4635" max="4635" width="10.7109375" style="472" customWidth="1"/>
    <col min="4636" max="4637" width="0" style="472" hidden="1" customWidth="1"/>
    <col min="4638" max="4638" width="10.7109375" style="472" customWidth="1"/>
    <col min="4639" max="4640" width="0" style="472" hidden="1" customWidth="1"/>
    <col min="4641" max="4641" width="10.7109375" style="472" customWidth="1"/>
    <col min="4642" max="4858" width="9.140625" style="472"/>
    <col min="4859" max="4859" width="10.42578125" style="472" customWidth="1"/>
    <col min="4860" max="4860" width="11.140625" style="472" customWidth="1"/>
    <col min="4861" max="4861" width="41.28515625" style="472" customWidth="1"/>
    <col min="4862" max="4863" width="0" style="472" hidden="1" customWidth="1"/>
    <col min="4864" max="4864" width="10.7109375" style="472" customWidth="1"/>
    <col min="4865" max="4866" width="0" style="472" hidden="1" customWidth="1"/>
    <col min="4867" max="4867" width="10.7109375" style="472" customWidth="1"/>
    <col min="4868" max="4869" width="0" style="472" hidden="1" customWidth="1"/>
    <col min="4870" max="4870" width="10.7109375" style="472" customWidth="1"/>
    <col min="4871" max="4872" width="0" style="472" hidden="1" customWidth="1"/>
    <col min="4873" max="4873" width="10.7109375" style="472" customWidth="1"/>
    <col min="4874" max="4875" width="0" style="472" hidden="1" customWidth="1"/>
    <col min="4876" max="4876" width="10.7109375" style="472" customWidth="1"/>
    <col min="4877" max="4878" width="0" style="472" hidden="1" customWidth="1"/>
    <col min="4879" max="4879" width="10.7109375" style="472" customWidth="1"/>
    <col min="4880" max="4881" width="0" style="472" hidden="1" customWidth="1"/>
    <col min="4882" max="4882" width="10.7109375" style="472" customWidth="1"/>
    <col min="4883" max="4884" width="0" style="472" hidden="1" customWidth="1"/>
    <col min="4885" max="4885" width="10.7109375" style="472" customWidth="1"/>
    <col min="4886" max="4887" width="0" style="472" hidden="1" customWidth="1"/>
    <col min="4888" max="4888" width="10.7109375" style="472" customWidth="1"/>
    <col min="4889" max="4890" width="0" style="472" hidden="1" customWidth="1"/>
    <col min="4891" max="4891" width="10.7109375" style="472" customWidth="1"/>
    <col min="4892" max="4893" width="0" style="472" hidden="1" customWidth="1"/>
    <col min="4894" max="4894" width="10.7109375" style="472" customWidth="1"/>
    <col min="4895" max="4896" width="0" style="472" hidden="1" customWidth="1"/>
    <col min="4897" max="4897" width="10.7109375" style="472" customWidth="1"/>
    <col min="4898" max="5114" width="9.140625" style="472"/>
    <col min="5115" max="5115" width="10.42578125" style="472" customWidth="1"/>
    <col min="5116" max="5116" width="11.140625" style="472" customWidth="1"/>
    <col min="5117" max="5117" width="41.28515625" style="472" customWidth="1"/>
    <col min="5118" max="5119" width="0" style="472" hidden="1" customWidth="1"/>
    <col min="5120" max="5120" width="10.7109375" style="472" customWidth="1"/>
    <col min="5121" max="5122" width="0" style="472" hidden="1" customWidth="1"/>
    <col min="5123" max="5123" width="10.7109375" style="472" customWidth="1"/>
    <col min="5124" max="5125" width="0" style="472" hidden="1" customWidth="1"/>
    <col min="5126" max="5126" width="10.7109375" style="472" customWidth="1"/>
    <col min="5127" max="5128" width="0" style="472" hidden="1" customWidth="1"/>
    <col min="5129" max="5129" width="10.7109375" style="472" customWidth="1"/>
    <col min="5130" max="5131" width="0" style="472" hidden="1" customWidth="1"/>
    <col min="5132" max="5132" width="10.7109375" style="472" customWidth="1"/>
    <col min="5133" max="5134" width="0" style="472" hidden="1" customWidth="1"/>
    <col min="5135" max="5135" width="10.7109375" style="472" customWidth="1"/>
    <col min="5136" max="5137" width="0" style="472" hidden="1" customWidth="1"/>
    <col min="5138" max="5138" width="10.7109375" style="472" customWidth="1"/>
    <col min="5139" max="5140" width="0" style="472" hidden="1" customWidth="1"/>
    <col min="5141" max="5141" width="10.7109375" style="472" customWidth="1"/>
    <col min="5142" max="5143" width="0" style="472" hidden="1" customWidth="1"/>
    <col min="5144" max="5144" width="10.7109375" style="472" customWidth="1"/>
    <col min="5145" max="5146" width="0" style="472" hidden="1" customWidth="1"/>
    <col min="5147" max="5147" width="10.7109375" style="472" customWidth="1"/>
    <col min="5148" max="5149" width="0" style="472" hidden="1" customWidth="1"/>
    <col min="5150" max="5150" width="10.7109375" style="472" customWidth="1"/>
    <col min="5151" max="5152" width="0" style="472" hidden="1" customWidth="1"/>
    <col min="5153" max="5153" width="10.7109375" style="472" customWidth="1"/>
    <col min="5154" max="5370" width="9.140625" style="472"/>
    <col min="5371" max="5371" width="10.42578125" style="472" customWidth="1"/>
    <col min="5372" max="5372" width="11.140625" style="472" customWidth="1"/>
    <col min="5373" max="5373" width="41.28515625" style="472" customWidth="1"/>
    <col min="5374" max="5375" width="0" style="472" hidden="1" customWidth="1"/>
    <col min="5376" max="5376" width="10.7109375" style="472" customWidth="1"/>
    <col min="5377" max="5378" width="0" style="472" hidden="1" customWidth="1"/>
    <col min="5379" max="5379" width="10.7109375" style="472" customWidth="1"/>
    <col min="5380" max="5381" width="0" style="472" hidden="1" customWidth="1"/>
    <col min="5382" max="5382" width="10.7109375" style="472" customWidth="1"/>
    <col min="5383" max="5384" width="0" style="472" hidden="1" customWidth="1"/>
    <col min="5385" max="5385" width="10.7109375" style="472" customWidth="1"/>
    <col min="5386" max="5387" width="0" style="472" hidden="1" customWidth="1"/>
    <col min="5388" max="5388" width="10.7109375" style="472" customWidth="1"/>
    <col min="5389" max="5390" width="0" style="472" hidden="1" customWidth="1"/>
    <col min="5391" max="5391" width="10.7109375" style="472" customWidth="1"/>
    <col min="5392" max="5393" width="0" style="472" hidden="1" customWidth="1"/>
    <col min="5394" max="5394" width="10.7109375" style="472" customWidth="1"/>
    <col min="5395" max="5396" width="0" style="472" hidden="1" customWidth="1"/>
    <col min="5397" max="5397" width="10.7109375" style="472" customWidth="1"/>
    <col min="5398" max="5399" width="0" style="472" hidden="1" customWidth="1"/>
    <col min="5400" max="5400" width="10.7109375" style="472" customWidth="1"/>
    <col min="5401" max="5402" width="0" style="472" hidden="1" customWidth="1"/>
    <col min="5403" max="5403" width="10.7109375" style="472" customWidth="1"/>
    <col min="5404" max="5405" width="0" style="472" hidden="1" customWidth="1"/>
    <col min="5406" max="5406" width="10.7109375" style="472" customWidth="1"/>
    <col min="5407" max="5408" width="0" style="472" hidden="1" customWidth="1"/>
    <col min="5409" max="5409" width="10.7109375" style="472" customWidth="1"/>
    <col min="5410" max="5626" width="9.140625" style="472"/>
    <col min="5627" max="5627" width="10.42578125" style="472" customWidth="1"/>
    <col min="5628" max="5628" width="11.140625" style="472" customWidth="1"/>
    <col min="5629" max="5629" width="41.28515625" style="472" customWidth="1"/>
    <col min="5630" max="5631" width="0" style="472" hidden="1" customWidth="1"/>
    <col min="5632" max="5632" width="10.7109375" style="472" customWidth="1"/>
    <col min="5633" max="5634" width="0" style="472" hidden="1" customWidth="1"/>
    <col min="5635" max="5635" width="10.7109375" style="472" customWidth="1"/>
    <col min="5636" max="5637" width="0" style="472" hidden="1" customWidth="1"/>
    <col min="5638" max="5638" width="10.7109375" style="472" customWidth="1"/>
    <col min="5639" max="5640" width="0" style="472" hidden="1" customWidth="1"/>
    <col min="5641" max="5641" width="10.7109375" style="472" customWidth="1"/>
    <col min="5642" max="5643" width="0" style="472" hidden="1" customWidth="1"/>
    <col min="5644" max="5644" width="10.7109375" style="472" customWidth="1"/>
    <col min="5645" max="5646" width="0" style="472" hidden="1" customWidth="1"/>
    <col min="5647" max="5647" width="10.7109375" style="472" customWidth="1"/>
    <col min="5648" max="5649" width="0" style="472" hidden="1" customWidth="1"/>
    <col min="5650" max="5650" width="10.7109375" style="472" customWidth="1"/>
    <col min="5651" max="5652" width="0" style="472" hidden="1" customWidth="1"/>
    <col min="5653" max="5653" width="10.7109375" style="472" customWidth="1"/>
    <col min="5654" max="5655" width="0" style="472" hidden="1" customWidth="1"/>
    <col min="5656" max="5656" width="10.7109375" style="472" customWidth="1"/>
    <col min="5657" max="5658" width="0" style="472" hidden="1" customWidth="1"/>
    <col min="5659" max="5659" width="10.7109375" style="472" customWidth="1"/>
    <col min="5660" max="5661" width="0" style="472" hidden="1" customWidth="1"/>
    <col min="5662" max="5662" width="10.7109375" style="472" customWidth="1"/>
    <col min="5663" max="5664" width="0" style="472" hidden="1" customWidth="1"/>
    <col min="5665" max="5665" width="10.7109375" style="472" customWidth="1"/>
    <col min="5666" max="5882" width="9.140625" style="472"/>
    <col min="5883" max="5883" width="10.42578125" style="472" customWidth="1"/>
    <col min="5884" max="5884" width="11.140625" style="472" customWidth="1"/>
    <col min="5885" max="5885" width="41.28515625" style="472" customWidth="1"/>
    <col min="5886" max="5887" width="0" style="472" hidden="1" customWidth="1"/>
    <col min="5888" max="5888" width="10.7109375" style="472" customWidth="1"/>
    <col min="5889" max="5890" width="0" style="472" hidden="1" customWidth="1"/>
    <col min="5891" max="5891" width="10.7109375" style="472" customWidth="1"/>
    <col min="5892" max="5893" width="0" style="472" hidden="1" customWidth="1"/>
    <col min="5894" max="5894" width="10.7109375" style="472" customWidth="1"/>
    <col min="5895" max="5896" width="0" style="472" hidden="1" customWidth="1"/>
    <col min="5897" max="5897" width="10.7109375" style="472" customWidth="1"/>
    <col min="5898" max="5899" width="0" style="472" hidden="1" customWidth="1"/>
    <col min="5900" max="5900" width="10.7109375" style="472" customWidth="1"/>
    <col min="5901" max="5902" width="0" style="472" hidden="1" customWidth="1"/>
    <col min="5903" max="5903" width="10.7109375" style="472" customWidth="1"/>
    <col min="5904" max="5905" width="0" style="472" hidden="1" customWidth="1"/>
    <col min="5906" max="5906" width="10.7109375" style="472" customWidth="1"/>
    <col min="5907" max="5908" width="0" style="472" hidden="1" customWidth="1"/>
    <col min="5909" max="5909" width="10.7109375" style="472" customWidth="1"/>
    <col min="5910" max="5911" width="0" style="472" hidden="1" customWidth="1"/>
    <col min="5912" max="5912" width="10.7109375" style="472" customWidth="1"/>
    <col min="5913" max="5914" width="0" style="472" hidden="1" customWidth="1"/>
    <col min="5915" max="5915" width="10.7109375" style="472" customWidth="1"/>
    <col min="5916" max="5917" width="0" style="472" hidden="1" customWidth="1"/>
    <col min="5918" max="5918" width="10.7109375" style="472" customWidth="1"/>
    <col min="5919" max="5920" width="0" style="472" hidden="1" customWidth="1"/>
    <col min="5921" max="5921" width="10.7109375" style="472" customWidth="1"/>
    <col min="5922" max="6138" width="9.140625" style="472"/>
    <col min="6139" max="6139" width="10.42578125" style="472" customWidth="1"/>
    <col min="6140" max="6140" width="11.140625" style="472" customWidth="1"/>
    <col min="6141" max="6141" width="41.28515625" style="472" customWidth="1"/>
    <col min="6142" max="6143" width="0" style="472" hidden="1" customWidth="1"/>
    <col min="6144" max="6144" width="10.7109375" style="472" customWidth="1"/>
    <col min="6145" max="6146" width="0" style="472" hidden="1" customWidth="1"/>
    <col min="6147" max="6147" width="10.7109375" style="472" customWidth="1"/>
    <col min="6148" max="6149" width="0" style="472" hidden="1" customWidth="1"/>
    <col min="6150" max="6150" width="10.7109375" style="472" customWidth="1"/>
    <col min="6151" max="6152" width="0" style="472" hidden="1" customWidth="1"/>
    <col min="6153" max="6153" width="10.7109375" style="472" customWidth="1"/>
    <col min="6154" max="6155" width="0" style="472" hidden="1" customWidth="1"/>
    <col min="6156" max="6156" width="10.7109375" style="472" customWidth="1"/>
    <col min="6157" max="6158" width="0" style="472" hidden="1" customWidth="1"/>
    <col min="6159" max="6159" width="10.7109375" style="472" customWidth="1"/>
    <col min="6160" max="6161" width="0" style="472" hidden="1" customWidth="1"/>
    <col min="6162" max="6162" width="10.7109375" style="472" customWidth="1"/>
    <col min="6163" max="6164" width="0" style="472" hidden="1" customWidth="1"/>
    <col min="6165" max="6165" width="10.7109375" style="472" customWidth="1"/>
    <col min="6166" max="6167" width="0" style="472" hidden="1" customWidth="1"/>
    <col min="6168" max="6168" width="10.7109375" style="472" customWidth="1"/>
    <col min="6169" max="6170" width="0" style="472" hidden="1" customWidth="1"/>
    <col min="6171" max="6171" width="10.7109375" style="472" customWidth="1"/>
    <col min="6172" max="6173" width="0" style="472" hidden="1" customWidth="1"/>
    <col min="6174" max="6174" width="10.7109375" style="472" customWidth="1"/>
    <col min="6175" max="6176" width="0" style="472" hidden="1" customWidth="1"/>
    <col min="6177" max="6177" width="10.7109375" style="472" customWidth="1"/>
    <col min="6178" max="6394" width="9.140625" style="472"/>
    <col min="6395" max="6395" width="10.42578125" style="472" customWidth="1"/>
    <col min="6396" max="6396" width="11.140625" style="472" customWidth="1"/>
    <col min="6397" max="6397" width="41.28515625" style="472" customWidth="1"/>
    <col min="6398" max="6399" width="0" style="472" hidden="1" customWidth="1"/>
    <col min="6400" max="6400" width="10.7109375" style="472" customWidth="1"/>
    <col min="6401" max="6402" width="0" style="472" hidden="1" customWidth="1"/>
    <col min="6403" max="6403" width="10.7109375" style="472" customWidth="1"/>
    <col min="6404" max="6405" width="0" style="472" hidden="1" customWidth="1"/>
    <col min="6406" max="6406" width="10.7109375" style="472" customWidth="1"/>
    <col min="6407" max="6408" width="0" style="472" hidden="1" customWidth="1"/>
    <col min="6409" max="6409" width="10.7109375" style="472" customWidth="1"/>
    <col min="6410" max="6411" width="0" style="472" hidden="1" customWidth="1"/>
    <col min="6412" max="6412" width="10.7109375" style="472" customWidth="1"/>
    <col min="6413" max="6414" width="0" style="472" hidden="1" customWidth="1"/>
    <col min="6415" max="6415" width="10.7109375" style="472" customWidth="1"/>
    <col min="6416" max="6417" width="0" style="472" hidden="1" customWidth="1"/>
    <col min="6418" max="6418" width="10.7109375" style="472" customWidth="1"/>
    <col min="6419" max="6420" width="0" style="472" hidden="1" customWidth="1"/>
    <col min="6421" max="6421" width="10.7109375" style="472" customWidth="1"/>
    <col min="6422" max="6423" width="0" style="472" hidden="1" customWidth="1"/>
    <col min="6424" max="6424" width="10.7109375" style="472" customWidth="1"/>
    <col min="6425" max="6426" width="0" style="472" hidden="1" customWidth="1"/>
    <col min="6427" max="6427" width="10.7109375" style="472" customWidth="1"/>
    <col min="6428" max="6429" width="0" style="472" hidden="1" customWidth="1"/>
    <col min="6430" max="6430" width="10.7109375" style="472" customWidth="1"/>
    <col min="6431" max="6432" width="0" style="472" hidden="1" customWidth="1"/>
    <col min="6433" max="6433" width="10.7109375" style="472" customWidth="1"/>
    <col min="6434" max="6650" width="9.140625" style="472"/>
    <col min="6651" max="6651" width="10.42578125" style="472" customWidth="1"/>
    <col min="6652" max="6652" width="11.140625" style="472" customWidth="1"/>
    <col min="6653" max="6653" width="41.28515625" style="472" customWidth="1"/>
    <col min="6654" max="6655" width="0" style="472" hidden="1" customWidth="1"/>
    <col min="6656" max="6656" width="10.7109375" style="472" customWidth="1"/>
    <col min="6657" max="6658" width="0" style="472" hidden="1" customWidth="1"/>
    <col min="6659" max="6659" width="10.7109375" style="472" customWidth="1"/>
    <col min="6660" max="6661" width="0" style="472" hidden="1" customWidth="1"/>
    <col min="6662" max="6662" width="10.7109375" style="472" customWidth="1"/>
    <col min="6663" max="6664" width="0" style="472" hidden="1" customWidth="1"/>
    <col min="6665" max="6665" width="10.7109375" style="472" customWidth="1"/>
    <col min="6666" max="6667" width="0" style="472" hidden="1" customWidth="1"/>
    <col min="6668" max="6668" width="10.7109375" style="472" customWidth="1"/>
    <col min="6669" max="6670" width="0" style="472" hidden="1" customWidth="1"/>
    <col min="6671" max="6671" width="10.7109375" style="472" customWidth="1"/>
    <col min="6672" max="6673" width="0" style="472" hidden="1" customWidth="1"/>
    <col min="6674" max="6674" width="10.7109375" style="472" customWidth="1"/>
    <col min="6675" max="6676" width="0" style="472" hidden="1" customWidth="1"/>
    <col min="6677" max="6677" width="10.7109375" style="472" customWidth="1"/>
    <col min="6678" max="6679" width="0" style="472" hidden="1" customWidth="1"/>
    <col min="6680" max="6680" width="10.7109375" style="472" customWidth="1"/>
    <col min="6681" max="6682" width="0" style="472" hidden="1" customWidth="1"/>
    <col min="6683" max="6683" width="10.7109375" style="472" customWidth="1"/>
    <col min="6684" max="6685" width="0" style="472" hidden="1" customWidth="1"/>
    <col min="6686" max="6686" width="10.7109375" style="472" customWidth="1"/>
    <col min="6687" max="6688" width="0" style="472" hidden="1" customWidth="1"/>
    <col min="6689" max="6689" width="10.7109375" style="472" customWidth="1"/>
    <col min="6690" max="6906" width="9.140625" style="472"/>
    <col min="6907" max="6907" width="10.42578125" style="472" customWidth="1"/>
    <col min="6908" max="6908" width="11.140625" style="472" customWidth="1"/>
    <col min="6909" max="6909" width="41.28515625" style="472" customWidth="1"/>
    <col min="6910" max="6911" width="0" style="472" hidden="1" customWidth="1"/>
    <col min="6912" max="6912" width="10.7109375" style="472" customWidth="1"/>
    <col min="6913" max="6914" width="0" style="472" hidden="1" customWidth="1"/>
    <col min="6915" max="6915" width="10.7109375" style="472" customWidth="1"/>
    <col min="6916" max="6917" width="0" style="472" hidden="1" customWidth="1"/>
    <col min="6918" max="6918" width="10.7109375" style="472" customWidth="1"/>
    <col min="6919" max="6920" width="0" style="472" hidden="1" customWidth="1"/>
    <col min="6921" max="6921" width="10.7109375" style="472" customWidth="1"/>
    <col min="6922" max="6923" width="0" style="472" hidden="1" customWidth="1"/>
    <col min="6924" max="6924" width="10.7109375" style="472" customWidth="1"/>
    <col min="6925" max="6926" width="0" style="472" hidden="1" customWidth="1"/>
    <col min="6927" max="6927" width="10.7109375" style="472" customWidth="1"/>
    <col min="6928" max="6929" width="0" style="472" hidden="1" customWidth="1"/>
    <col min="6930" max="6930" width="10.7109375" style="472" customWidth="1"/>
    <col min="6931" max="6932" width="0" style="472" hidden="1" customWidth="1"/>
    <col min="6933" max="6933" width="10.7109375" style="472" customWidth="1"/>
    <col min="6934" max="6935" width="0" style="472" hidden="1" customWidth="1"/>
    <col min="6936" max="6936" width="10.7109375" style="472" customWidth="1"/>
    <col min="6937" max="6938" width="0" style="472" hidden="1" customWidth="1"/>
    <col min="6939" max="6939" width="10.7109375" style="472" customWidth="1"/>
    <col min="6940" max="6941" width="0" style="472" hidden="1" customWidth="1"/>
    <col min="6942" max="6942" width="10.7109375" style="472" customWidth="1"/>
    <col min="6943" max="6944" width="0" style="472" hidden="1" customWidth="1"/>
    <col min="6945" max="6945" width="10.7109375" style="472" customWidth="1"/>
    <col min="6946" max="7162" width="9.140625" style="472"/>
    <col min="7163" max="7163" width="10.42578125" style="472" customWidth="1"/>
    <col min="7164" max="7164" width="11.140625" style="472" customWidth="1"/>
    <col min="7165" max="7165" width="41.28515625" style="472" customWidth="1"/>
    <col min="7166" max="7167" width="0" style="472" hidden="1" customWidth="1"/>
    <col min="7168" max="7168" width="10.7109375" style="472" customWidth="1"/>
    <col min="7169" max="7170" width="0" style="472" hidden="1" customWidth="1"/>
    <col min="7171" max="7171" width="10.7109375" style="472" customWidth="1"/>
    <col min="7172" max="7173" width="0" style="472" hidden="1" customWidth="1"/>
    <col min="7174" max="7174" width="10.7109375" style="472" customWidth="1"/>
    <col min="7175" max="7176" width="0" style="472" hidden="1" customWidth="1"/>
    <col min="7177" max="7177" width="10.7109375" style="472" customWidth="1"/>
    <col min="7178" max="7179" width="0" style="472" hidden="1" customWidth="1"/>
    <col min="7180" max="7180" width="10.7109375" style="472" customWidth="1"/>
    <col min="7181" max="7182" width="0" style="472" hidden="1" customWidth="1"/>
    <col min="7183" max="7183" width="10.7109375" style="472" customWidth="1"/>
    <col min="7184" max="7185" width="0" style="472" hidden="1" customWidth="1"/>
    <col min="7186" max="7186" width="10.7109375" style="472" customWidth="1"/>
    <col min="7187" max="7188" width="0" style="472" hidden="1" customWidth="1"/>
    <col min="7189" max="7189" width="10.7109375" style="472" customWidth="1"/>
    <col min="7190" max="7191" width="0" style="472" hidden="1" customWidth="1"/>
    <col min="7192" max="7192" width="10.7109375" style="472" customWidth="1"/>
    <col min="7193" max="7194" width="0" style="472" hidden="1" customWidth="1"/>
    <col min="7195" max="7195" width="10.7109375" style="472" customWidth="1"/>
    <col min="7196" max="7197" width="0" style="472" hidden="1" customWidth="1"/>
    <col min="7198" max="7198" width="10.7109375" style="472" customWidth="1"/>
    <col min="7199" max="7200" width="0" style="472" hidden="1" customWidth="1"/>
    <col min="7201" max="7201" width="10.7109375" style="472" customWidth="1"/>
    <col min="7202" max="7418" width="9.140625" style="472"/>
    <col min="7419" max="7419" width="10.42578125" style="472" customWidth="1"/>
    <col min="7420" max="7420" width="11.140625" style="472" customWidth="1"/>
    <col min="7421" max="7421" width="41.28515625" style="472" customWidth="1"/>
    <col min="7422" max="7423" width="0" style="472" hidden="1" customWidth="1"/>
    <col min="7424" max="7424" width="10.7109375" style="472" customWidth="1"/>
    <col min="7425" max="7426" width="0" style="472" hidden="1" customWidth="1"/>
    <col min="7427" max="7427" width="10.7109375" style="472" customWidth="1"/>
    <col min="7428" max="7429" width="0" style="472" hidden="1" customWidth="1"/>
    <col min="7430" max="7430" width="10.7109375" style="472" customWidth="1"/>
    <col min="7431" max="7432" width="0" style="472" hidden="1" customWidth="1"/>
    <col min="7433" max="7433" width="10.7109375" style="472" customWidth="1"/>
    <col min="7434" max="7435" width="0" style="472" hidden="1" customWidth="1"/>
    <col min="7436" max="7436" width="10.7109375" style="472" customWidth="1"/>
    <col min="7437" max="7438" width="0" style="472" hidden="1" customWidth="1"/>
    <col min="7439" max="7439" width="10.7109375" style="472" customWidth="1"/>
    <col min="7440" max="7441" width="0" style="472" hidden="1" customWidth="1"/>
    <col min="7442" max="7442" width="10.7109375" style="472" customWidth="1"/>
    <col min="7443" max="7444" width="0" style="472" hidden="1" customWidth="1"/>
    <col min="7445" max="7445" width="10.7109375" style="472" customWidth="1"/>
    <col min="7446" max="7447" width="0" style="472" hidden="1" customWidth="1"/>
    <col min="7448" max="7448" width="10.7109375" style="472" customWidth="1"/>
    <col min="7449" max="7450" width="0" style="472" hidden="1" customWidth="1"/>
    <col min="7451" max="7451" width="10.7109375" style="472" customWidth="1"/>
    <col min="7452" max="7453" width="0" style="472" hidden="1" customWidth="1"/>
    <col min="7454" max="7454" width="10.7109375" style="472" customWidth="1"/>
    <col min="7455" max="7456" width="0" style="472" hidden="1" customWidth="1"/>
    <col min="7457" max="7457" width="10.7109375" style="472" customWidth="1"/>
    <col min="7458" max="7674" width="9.140625" style="472"/>
    <col min="7675" max="7675" width="10.42578125" style="472" customWidth="1"/>
    <col min="7676" max="7676" width="11.140625" style="472" customWidth="1"/>
    <col min="7677" max="7677" width="41.28515625" style="472" customWidth="1"/>
    <col min="7678" max="7679" width="0" style="472" hidden="1" customWidth="1"/>
    <col min="7680" max="7680" width="10.7109375" style="472" customWidth="1"/>
    <col min="7681" max="7682" width="0" style="472" hidden="1" customWidth="1"/>
    <col min="7683" max="7683" width="10.7109375" style="472" customWidth="1"/>
    <col min="7684" max="7685" width="0" style="472" hidden="1" customWidth="1"/>
    <col min="7686" max="7686" width="10.7109375" style="472" customWidth="1"/>
    <col min="7687" max="7688" width="0" style="472" hidden="1" customWidth="1"/>
    <col min="7689" max="7689" width="10.7109375" style="472" customWidth="1"/>
    <col min="7690" max="7691" width="0" style="472" hidden="1" customWidth="1"/>
    <col min="7692" max="7692" width="10.7109375" style="472" customWidth="1"/>
    <col min="7693" max="7694" width="0" style="472" hidden="1" customWidth="1"/>
    <col min="7695" max="7695" width="10.7109375" style="472" customWidth="1"/>
    <col min="7696" max="7697" width="0" style="472" hidden="1" customWidth="1"/>
    <col min="7698" max="7698" width="10.7109375" style="472" customWidth="1"/>
    <col min="7699" max="7700" width="0" style="472" hidden="1" customWidth="1"/>
    <col min="7701" max="7701" width="10.7109375" style="472" customWidth="1"/>
    <col min="7702" max="7703" width="0" style="472" hidden="1" customWidth="1"/>
    <col min="7704" max="7704" width="10.7109375" style="472" customWidth="1"/>
    <col min="7705" max="7706" width="0" style="472" hidden="1" customWidth="1"/>
    <col min="7707" max="7707" width="10.7109375" style="472" customWidth="1"/>
    <col min="7708" max="7709" width="0" style="472" hidden="1" customWidth="1"/>
    <col min="7710" max="7710" width="10.7109375" style="472" customWidth="1"/>
    <col min="7711" max="7712" width="0" style="472" hidden="1" customWidth="1"/>
    <col min="7713" max="7713" width="10.7109375" style="472" customWidth="1"/>
    <col min="7714" max="7930" width="9.140625" style="472"/>
    <col min="7931" max="7931" width="10.42578125" style="472" customWidth="1"/>
    <col min="7932" max="7932" width="11.140625" style="472" customWidth="1"/>
    <col min="7933" max="7933" width="41.28515625" style="472" customWidth="1"/>
    <col min="7934" max="7935" width="0" style="472" hidden="1" customWidth="1"/>
    <col min="7936" max="7936" width="10.7109375" style="472" customWidth="1"/>
    <col min="7937" max="7938" width="0" style="472" hidden="1" customWidth="1"/>
    <col min="7939" max="7939" width="10.7109375" style="472" customWidth="1"/>
    <col min="7940" max="7941" width="0" style="472" hidden="1" customWidth="1"/>
    <col min="7942" max="7942" width="10.7109375" style="472" customWidth="1"/>
    <col min="7943" max="7944" width="0" style="472" hidden="1" customWidth="1"/>
    <col min="7945" max="7945" width="10.7109375" style="472" customWidth="1"/>
    <col min="7946" max="7947" width="0" style="472" hidden="1" customWidth="1"/>
    <col min="7948" max="7948" width="10.7109375" style="472" customWidth="1"/>
    <col min="7949" max="7950" width="0" style="472" hidden="1" customWidth="1"/>
    <col min="7951" max="7951" width="10.7109375" style="472" customWidth="1"/>
    <col min="7952" max="7953" width="0" style="472" hidden="1" customWidth="1"/>
    <col min="7954" max="7954" width="10.7109375" style="472" customWidth="1"/>
    <col min="7955" max="7956" width="0" style="472" hidden="1" customWidth="1"/>
    <col min="7957" max="7957" width="10.7109375" style="472" customWidth="1"/>
    <col min="7958" max="7959" width="0" style="472" hidden="1" customWidth="1"/>
    <col min="7960" max="7960" width="10.7109375" style="472" customWidth="1"/>
    <col min="7961" max="7962" width="0" style="472" hidden="1" customWidth="1"/>
    <col min="7963" max="7963" width="10.7109375" style="472" customWidth="1"/>
    <col min="7964" max="7965" width="0" style="472" hidden="1" customWidth="1"/>
    <col min="7966" max="7966" width="10.7109375" style="472" customWidth="1"/>
    <col min="7967" max="7968" width="0" style="472" hidden="1" customWidth="1"/>
    <col min="7969" max="7969" width="10.7109375" style="472" customWidth="1"/>
    <col min="7970" max="8186" width="9.140625" style="472"/>
    <col min="8187" max="8187" width="10.42578125" style="472" customWidth="1"/>
    <col min="8188" max="8188" width="11.140625" style="472" customWidth="1"/>
    <col min="8189" max="8189" width="41.28515625" style="472" customWidth="1"/>
    <col min="8190" max="8191" width="0" style="472" hidden="1" customWidth="1"/>
    <col min="8192" max="8192" width="10.7109375" style="472" customWidth="1"/>
    <col min="8193" max="8194" width="0" style="472" hidden="1" customWidth="1"/>
    <col min="8195" max="8195" width="10.7109375" style="472" customWidth="1"/>
    <col min="8196" max="8197" width="0" style="472" hidden="1" customWidth="1"/>
    <col min="8198" max="8198" width="10.7109375" style="472" customWidth="1"/>
    <col min="8199" max="8200" width="0" style="472" hidden="1" customWidth="1"/>
    <col min="8201" max="8201" width="10.7109375" style="472" customWidth="1"/>
    <col min="8202" max="8203" width="0" style="472" hidden="1" customWidth="1"/>
    <col min="8204" max="8204" width="10.7109375" style="472" customWidth="1"/>
    <col min="8205" max="8206" width="0" style="472" hidden="1" customWidth="1"/>
    <col min="8207" max="8207" width="10.7109375" style="472" customWidth="1"/>
    <col min="8208" max="8209" width="0" style="472" hidden="1" customWidth="1"/>
    <col min="8210" max="8210" width="10.7109375" style="472" customWidth="1"/>
    <col min="8211" max="8212" width="0" style="472" hidden="1" customWidth="1"/>
    <col min="8213" max="8213" width="10.7109375" style="472" customWidth="1"/>
    <col min="8214" max="8215" width="0" style="472" hidden="1" customWidth="1"/>
    <col min="8216" max="8216" width="10.7109375" style="472" customWidth="1"/>
    <col min="8217" max="8218" width="0" style="472" hidden="1" customWidth="1"/>
    <col min="8219" max="8219" width="10.7109375" style="472" customWidth="1"/>
    <col min="8220" max="8221" width="0" style="472" hidden="1" customWidth="1"/>
    <col min="8222" max="8222" width="10.7109375" style="472" customWidth="1"/>
    <col min="8223" max="8224" width="0" style="472" hidden="1" customWidth="1"/>
    <col min="8225" max="8225" width="10.7109375" style="472" customWidth="1"/>
    <col min="8226" max="8442" width="9.140625" style="472"/>
    <col min="8443" max="8443" width="10.42578125" style="472" customWidth="1"/>
    <col min="8444" max="8444" width="11.140625" style="472" customWidth="1"/>
    <col min="8445" max="8445" width="41.28515625" style="472" customWidth="1"/>
    <col min="8446" max="8447" width="0" style="472" hidden="1" customWidth="1"/>
    <col min="8448" max="8448" width="10.7109375" style="472" customWidth="1"/>
    <col min="8449" max="8450" width="0" style="472" hidden="1" customWidth="1"/>
    <col min="8451" max="8451" width="10.7109375" style="472" customWidth="1"/>
    <col min="8452" max="8453" width="0" style="472" hidden="1" customWidth="1"/>
    <col min="8454" max="8454" width="10.7109375" style="472" customWidth="1"/>
    <col min="8455" max="8456" width="0" style="472" hidden="1" customWidth="1"/>
    <col min="8457" max="8457" width="10.7109375" style="472" customWidth="1"/>
    <col min="8458" max="8459" width="0" style="472" hidden="1" customWidth="1"/>
    <col min="8460" max="8460" width="10.7109375" style="472" customWidth="1"/>
    <col min="8461" max="8462" width="0" style="472" hidden="1" customWidth="1"/>
    <col min="8463" max="8463" width="10.7109375" style="472" customWidth="1"/>
    <col min="8464" max="8465" width="0" style="472" hidden="1" customWidth="1"/>
    <col min="8466" max="8466" width="10.7109375" style="472" customWidth="1"/>
    <col min="8467" max="8468" width="0" style="472" hidden="1" customWidth="1"/>
    <col min="8469" max="8469" width="10.7109375" style="472" customWidth="1"/>
    <col min="8470" max="8471" width="0" style="472" hidden="1" customWidth="1"/>
    <col min="8472" max="8472" width="10.7109375" style="472" customWidth="1"/>
    <col min="8473" max="8474" width="0" style="472" hidden="1" customWidth="1"/>
    <col min="8475" max="8475" width="10.7109375" style="472" customWidth="1"/>
    <col min="8476" max="8477" width="0" style="472" hidden="1" customWidth="1"/>
    <col min="8478" max="8478" width="10.7109375" style="472" customWidth="1"/>
    <col min="8479" max="8480" width="0" style="472" hidden="1" customWidth="1"/>
    <col min="8481" max="8481" width="10.7109375" style="472" customWidth="1"/>
    <col min="8482" max="8698" width="9.140625" style="472"/>
    <col min="8699" max="8699" width="10.42578125" style="472" customWidth="1"/>
    <col min="8700" max="8700" width="11.140625" style="472" customWidth="1"/>
    <col min="8701" max="8701" width="41.28515625" style="472" customWidth="1"/>
    <col min="8702" max="8703" width="0" style="472" hidden="1" customWidth="1"/>
    <col min="8704" max="8704" width="10.7109375" style="472" customWidth="1"/>
    <col min="8705" max="8706" width="0" style="472" hidden="1" customWidth="1"/>
    <col min="8707" max="8707" width="10.7109375" style="472" customWidth="1"/>
    <col min="8708" max="8709" width="0" style="472" hidden="1" customWidth="1"/>
    <col min="8710" max="8710" width="10.7109375" style="472" customWidth="1"/>
    <col min="8711" max="8712" width="0" style="472" hidden="1" customWidth="1"/>
    <col min="8713" max="8713" width="10.7109375" style="472" customWidth="1"/>
    <col min="8714" max="8715" width="0" style="472" hidden="1" customWidth="1"/>
    <col min="8716" max="8716" width="10.7109375" style="472" customWidth="1"/>
    <col min="8717" max="8718" width="0" style="472" hidden="1" customWidth="1"/>
    <col min="8719" max="8719" width="10.7109375" style="472" customWidth="1"/>
    <col min="8720" max="8721" width="0" style="472" hidden="1" customWidth="1"/>
    <col min="8722" max="8722" width="10.7109375" style="472" customWidth="1"/>
    <col min="8723" max="8724" width="0" style="472" hidden="1" customWidth="1"/>
    <col min="8725" max="8725" width="10.7109375" style="472" customWidth="1"/>
    <col min="8726" max="8727" width="0" style="472" hidden="1" customWidth="1"/>
    <col min="8728" max="8728" width="10.7109375" style="472" customWidth="1"/>
    <col min="8729" max="8730" width="0" style="472" hidden="1" customWidth="1"/>
    <col min="8731" max="8731" width="10.7109375" style="472" customWidth="1"/>
    <col min="8732" max="8733" width="0" style="472" hidden="1" customWidth="1"/>
    <col min="8734" max="8734" width="10.7109375" style="472" customWidth="1"/>
    <col min="8735" max="8736" width="0" style="472" hidden="1" customWidth="1"/>
    <col min="8737" max="8737" width="10.7109375" style="472" customWidth="1"/>
    <col min="8738" max="8954" width="9.140625" style="472"/>
    <col min="8955" max="8955" width="10.42578125" style="472" customWidth="1"/>
    <col min="8956" max="8956" width="11.140625" style="472" customWidth="1"/>
    <col min="8957" max="8957" width="41.28515625" style="472" customWidth="1"/>
    <col min="8958" max="8959" width="0" style="472" hidden="1" customWidth="1"/>
    <col min="8960" max="8960" width="10.7109375" style="472" customWidth="1"/>
    <col min="8961" max="8962" width="0" style="472" hidden="1" customWidth="1"/>
    <col min="8963" max="8963" width="10.7109375" style="472" customWidth="1"/>
    <col min="8964" max="8965" width="0" style="472" hidden="1" customWidth="1"/>
    <col min="8966" max="8966" width="10.7109375" style="472" customWidth="1"/>
    <col min="8967" max="8968" width="0" style="472" hidden="1" customWidth="1"/>
    <col min="8969" max="8969" width="10.7109375" style="472" customWidth="1"/>
    <col min="8970" max="8971" width="0" style="472" hidden="1" customWidth="1"/>
    <col min="8972" max="8972" width="10.7109375" style="472" customWidth="1"/>
    <col min="8973" max="8974" width="0" style="472" hidden="1" customWidth="1"/>
    <col min="8975" max="8975" width="10.7109375" style="472" customWidth="1"/>
    <col min="8976" max="8977" width="0" style="472" hidden="1" customWidth="1"/>
    <col min="8978" max="8978" width="10.7109375" style="472" customWidth="1"/>
    <col min="8979" max="8980" width="0" style="472" hidden="1" customWidth="1"/>
    <col min="8981" max="8981" width="10.7109375" style="472" customWidth="1"/>
    <col min="8982" max="8983" width="0" style="472" hidden="1" customWidth="1"/>
    <col min="8984" max="8984" width="10.7109375" style="472" customWidth="1"/>
    <col min="8985" max="8986" width="0" style="472" hidden="1" customWidth="1"/>
    <col min="8987" max="8987" width="10.7109375" style="472" customWidth="1"/>
    <col min="8988" max="8989" width="0" style="472" hidden="1" customWidth="1"/>
    <col min="8990" max="8990" width="10.7109375" style="472" customWidth="1"/>
    <col min="8991" max="8992" width="0" style="472" hidden="1" customWidth="1"/>
    <col min="8993" max="8993" width="10.7109375" style="472" customWidth="1"/>
    <col min="8994" max="9210" width="9.140625" style="472"/>
    <col min="9211" max="9211" width="10.42578125" style="472" customWidth="1"/>
    <col min="9212" max="9212" width="11.140625" style="472" customWidth="1"/>
    <col min="9213" max="9213" width="41.28515625" style="472" customWidth="1"/>
    <col min="9214" max="9215" width="0" style="472" hidden="1" customWidth="1"/>
    <col min="9216" max="9216" width="10.7109375" style="472" customWidth="1"/>
    <col min="9217" max="9218" width="0" style="472" hidden="1" customWidth="1"/>
    <col min="9219" max="9219" width="10.7109375" style="472" customWidth="1"/>
    <col min="9220" max="9221" width="0" style="472" hidden="1" customWidth="1"/>
    <col min="9222" max="9222" width="10.7109375" style="472" customWidth="1"/>
    <col min="9223" max="9224" width="0" style="472" hidden="1" customWidth="1"/>
    <col min="9225" max="9225" width="10.7109375" style="472" customWidth="1"/>
    <col min="9226" max="9227" width="0" style="472" hidden="1" customWidth="1"/>
    <col min="9228" max="9228" width="10.7109375" style="472" customWidth="1"/>
    <col min="9229" max="9230" width="0" style="472" hidden="1" customWidth="1"/>
    <col min="9231" max="9231" width="10.7109375" style="472" customWidth="1"/>
    <col min="9232" max="9233" width="0" style="472" hidden="1" customWidth="1"/>
    <col min="9234" max="9234" width="10.7109375" style="472" customWidth="1"/>
    <col min="9235" max="9236" width="0" style="472" hidden="1" customWidth="1"/>
    <col min="9237" max="9237" width="10.7109375" style="472" customWidth="1"/>
    <col min="9238" max="9239" width="0" style="472" hidden="1" customWidth="1"/>
    <col min="9240" max="9240" width="10.7109375" style="472" customWidth="1"/>
    <col min="9241" max="9242" width="0" style="472" hidden="1" customWidth="1"/>
    <col min="9243" max="9243" width="10.7109375" style="472" customWidth="1"/>
    <col min="9244" max="9245" width="0" style="472" hidden="1" customWidth="1"/>
    <col min="9246" max="9246" width="10.7109375" style="472" customWidth="1"/>
    <col min="9247" max="9248" width="0" style="472" hidden="1" customWidth="1"/>
    <col min="9249" max="9249" width="10.7109375" style="472" customWidth="1"/>
    <col min="9250" max="9466" width="9.140625" style="472"/>
    <col min="9467" max="9467" width="10.42578125" style="472" customWidth="1"/>
    <col min="9468" max="9468" width="11.140625" style="472" customWidth="1"/>
    <col min="9469" max="9469" width="41.28515625" style="472" customWidth="1"/>
    <col min="9470" max="9471" width="0" style="472" hidden="1" customWidth="1"/>
    <col min="9472" max="9472" width="10.7109375" style="472" customWidth="1"/>
    <col min="9473" max="9474" width="0" style="472" hidden="1" customWidth="1"/>
    <col min="9475" max="9475" width="10.7109375" style="472" customWidth="1"/>
    <col min="9476" max="9477" width="0" style="472" hidden="1" customWidth="1"/>
    <col min="9478" max="9478" width="10.7109375" style="472" customWidth="1"/>
    <col min="9479" max="9480" width="0" style="472" hidden="1" customWidth="1"/>
    <col min="9481" max="9481" width="10.7109375" style="472" customWidth="1"/>
    <col min="9482" max="9483" width="0" style="472" hidden="1" customWidth="1"/>
    <col min="9484" max="9484" width="10.7109375" style="472" customWidth="1"/>
    <col min="9485" max="9486" width="0" style="472" hidden="1" customWidth="1"/>
    <col min="9487" max="9487" width="10.7109375" style="472" customWidth="1"/>
    <col min="9488" max="9489" width="0" style="472" hidden="1" customWidth="1"/>
    <col min="9490" max="9490" width="10.7109375" style="472" customWidth="1"/>
    <col min="9491" max="9492" width="0" style="472" hidden="1" customWidth="1"/>
    <col min="9493" max="9493" width="10.7109375" style="472" customWidth="1"/>
    <col min="9494" max="9495" width="0" style="472" hidden="1" customWidth="1"/>
    <col min="9496" max="9496" width="10.7109375" style="472" customWidth="1"/>
    <col min="9497" max="9498" width="0" style="472" hidden="1" customWidth="1"/>
    <col min="9499" max="9499" width="10.7109375" style="472" customWidth="1"/>
    <col min="9500" max="9501" width="0" style="472" hidden="1" customWidth="1"/>
    <col min="9502" max="9502" width="10.7109375" style="472" customWidth="1"/>
    <col min="9503" max="9504" width="0" style="472" hidden="1" customWidth="1"/>
    <col min="9505" max="9505" width="10.7109375" style="472" customWidth="1"/>
    <col min="9506" max="9722" width="9.140625" style="472"/>
    <col min="9723" max="9723" width="10.42578125" style="472" customWidth="1"/>
    <col min="9724" max="9724" width="11.140625" style="472" customWidth="1"/>
    <col min="9725" max="9725" width="41.28515625" style="472" customWidth="1"/>
    <col min="9726" max="9727" width="0" style="472" hidden="1" customWidth="1"/>
    <col min="9728" max="9728" width="10.7109375" style="472" customWidth="1"/>
    <col min="9729" max="9730" width="0" style="472" hidden="1" customWidth="1"/>
    <col min="9731" max="9731" width="10.7109375" style="472" customWidth="1"/>
    <col min="9732" max="9733" width="0" style="472" hidden="1" customWidth="1"/>
    <col min="9734" max="9734" width="10.7109375" style="472" customWidth="1"/>
    <col min="9735" max="9736" width="0" style="472" hidden="1" customWidth="1"/>
    <col min="9737" max="9737" width="10.7109375" style="472" customWidth="1"/>
    <col min="9738" max="9739" width="0" style="472" hidden="1" customWidth="1"/>
    <col min="9740" max="9740" width="10.7109375" style="472" customWidth="1"/>
    <col min="9741" max="9742" width="0" style="472" hidden="1" customWidth="1"/>
    <col min="9743" max="9743" width="10.7109375" style="472" customWidth="1"/>
    <col min="9744" max="9745" width="0" style="472" hidden="1" customWidth="1"/>
    <col min="9746" max="9746" width="10.7109375" style="472" customWidth="1"/>
    <col min="9747" max="9748" width="0" style="472" hidden="1" customWidth="1"/>
    <col min="9749" max="9749" width="10.7109375" style="472" customWidth="1"/>
    <col min="9750" max="9751" width="0" style="472" hidden="1" customWidth="1"/>
    <col min="9752" max="9752" width="10.7109375" style="472" customWidth="1"/>
    <col min="9753" max="9754" width="0" style="472" hidden="1" customWidth="1"/>
    <col min="9755" max="9755" width="10.7109375" style="472" customWidth="1"/>
    <col min="9756" max="9757" width="0" style="472" hidden="1" customWidth="1"/>
    <col min="9758" max="9758" width="10.7109375" style="472" customWidth="1"/>
    <col min="9759" max="9760" width="0" style="472" hidden="1" customWidth="1"/>
    <col min="9761" max="9761" width="10.7109375" style="472" customWidth="1"/>
    <col min="9762" max="9978" width="9.140625" style="472"/>
    <col min="9979" max="9979" width="10.42578125" style="472" customWidth="1"/>
    <col min="9980" max="9980" width="11.140625" style="472" customWidth="1"/>
    <col min="9981" max="9981" width="41.28515625" style="472" customWidth="1"/>
    <col min="9982" max="9983" width="0" style="472" hidden="1" customWidth="1"/>
    <col min="9984" max="9984" width="10.7109375" style="472" customWidth="1"/>
    <col min="9985" max="9986" width="0" style="472" hidden="1" customWidth="1"/>
    <col min="9987" max="9987" width="10.7109375" style="472" customWidth="1"/>
    <col min="9988" max="9989" width="0" style="472" hidden="1" customWidth="1"/>
    <col min="9990" max="9990" width="10.7109375" style="472" customWidth="1"/>
    <col min="9991" max="9992" width="0" style="472" hidden="1" customWidth="1"/>
    <col min="9993" max="9993" width="10.7109375" style="472" customWidth="1"/>
    <col min="9994" max="9995" width="0" style="472" hidden="1" customWidth="1"/>
    <col min="9996" max="9996" width="10.7109375" style="472" customWidth="1"/>
    <col min="9997" max="9998" width="0" style="472" hidden="1" customWidth="1"/>
    <col min="9999" max="9999" width="10.7109375" style="472" customWidth="1"/>
    <col min="10000" max="10001" width="0" style="472" hidden="1" customWidth="1"/>
    <col min="10002" max="10002" width="10.7109375" style="472" customWidth="1"/>
    <col min="10003" max="10004" width="0" style="472" hidden="1" customWidth="1"/>
    <col min="10005" max="10005" width="10.7109375" style="472" customWidth="1"/>
    <col min="10006" max="10007" width="0" style="472" hidden="1" customWidth="1"/>
    <col min="10008" max="10008" width="10.7109375" style="472" customWidth="1"/>
    <col min="10009" max="10010" width="0" style="472" hidden="1" customWidth="1"/>
    <col min="10011" max="10011" width="10.7109375" style="472" customWidth="1"/>
    <col min="10012" max="10013" width="0" style="472" hidden="1" customWidth="1"/>
    <col min="10014" max="10014" width="10.7109375" style="472" customWidth="1"/>
    <col min="10015" max="10016" width="0" style="472" hidden="1" customWidth="1"/>
    <col min="10017" max="10017" width="10.7109375" style="472" customWidth="1"/>
    <col min="10018" max="10234" width="9.140625" style="472"/>
    <col min="10235" max="10235" width="10.42578125" style="472" customWidth="1"/>
    <col min="10236" max="10236" width="11.140625" style="472" customWidth="1"/>
    <col min="10237" max="10237" width="41.28515625" style="472" customWidth="1"/>
    <col min="10238" max="10239" width="0" style="472" hidden="1" customWidth="1"/>
    <col min="10240" max="10240" width="10.7109375" style="472" customWidth="1"/>
    <col min="10241" max="10242" width="0" style="472" hidden="1" customWidth="1"/>
    <col min="10243" max="10243" width="10.7109375" style="472" customWidth="1"/>
    <col min="10244" max="10245" width="0" style="472" hidden="1" customWidth="1"/>
    <col min="10246" max="10246" width="10.7109375" style="472" customWidth="1"/>
    <col min="10247" max="10248" width="0" style="472" hidden="1" customWidth="1"/>
    <col min="10249" max="10249" width="10.7109375" style="472" customWidth="1"/>
    <col min="10250" max="10251" width="0" style="472" hidden="1" customWidth="1"/>
    <col min="10252" max="10252" width="10.7109375" style="472" customWidth="1"/>
    <col min="10253" max="10254" width="0" style="472" hidden="1" customWidth="1"/>
    <col min="10255" max="10255" width="10.7109375" style="472" customWidth="1"/>
    <col min="10256" max="10257" width="0" style="472" hidden="1" customWidth="1"/>
    <col min="10258" max="10258" width="10.7109375" style="472" customWidth="1"/>
    <col min="10259" max="10260" width="0" style="472" hidden="1" customWidth="1"/>
    <col min="10261" max="10261" width="10.7109375" style="472" customWidth="1"/>
    <col min="10262" max="10263" width="0" style="472" hidden="1" customWidth="1"/>
    <col min="10264" max="10264" width="10.7109375" style="472" customWidth="1"/>
    <col min="10265" max="10266" width="0" style="472" hidden="1" customWidth="1"/>
    <col min="10267" max="10267" width="10.7109375" style="472" customWidth="1"/>
    <col min="10268" max="10269" width="0" style="472" hidden="1" customWidth="1"/>
    <col min="10270" max="10270" width="10.7109375" style="472" customWidth="1"/>
    <col min="10271" max="10272" width="0" style="472" hidden="1" customWidth="1"/>
    <col min="10273" max="10273" width="10.7109375" style="472" customWidth="1"/>
    <col min="10274" max="10490" width="9.140625" style="472"/>
    <col min="10491" max="10491" width="10.42578125" style="472" customWidth="1"/>
    <col min="10492" max="10492" width="11.140625" style="472" customWidth="1"/>
    <col min="10493" max="10493" width="41.28515625" style="472" customWidth="1"/>
    <col min="10494" max="10495" width="0" style="472" hidden="1" customWidth="1"/>
    <col min="10496" max="10496" width="10.7109375" style="472" customWidth="1"/>
    <col min="10497" max="10498" width="0" style="472" hidden="1" customWidth="1"/>
    <col min="10499" max="10499" width="10.7109375" style="472" customWidth="1"/>
    <col min="10500" max="10501" width="0" style="472" hidden="1" customWidth="1"/>
    <col min="10502" max="10502" width="10.7109375" style="472" customWidth="1"/>
    <col min="10503" max="10504" width="0" style="472" hidden="1" customWidth="1"/>
    <col min="10505" max="10505" width="10.7109375" style="472" customWidth="1"/>
    <col min="10506" max="10507" width="0" style="472" hidden="1" customWidth="1"/>
    <col min="10508" max="10508" width="10.7109375" style="472" customWidth="1"/>
    <col min="10509" max="10510" width="0" style="472" hidden="1" customWidth="1"/>
    <col min="10511" max="10511" width="10.7109375" style="472" customWidth="1"/>
    <col min="10512" max="10513" width="0" style="472" hidden="1" customWidth="1"/>
    <col min="10514" max="10514" width="10.7109375" style="472" customWidth="1"/>
    <col min="10515" max="10516" width="0" style="472" hidden="1" customWidth="1"/>
    <col min="10517" max="10517" width="10.7109375" style="472" customWidth="1"/>
    <col min="10518" max="10519" width="0" style="472" hidden="1" customWidth="1"/>
    <col min="10520" max="10520" width="10.7109375" style="472" customWidth="1"/>
    <col min="10521" max="10522" width="0" style="472" hidden="1" customWidth="1"/>
    <col min="10523" max="10523" width="10.7109375" style="472" customWidth="1"/>
    <col min="10524" max="10525" width="0" style="472" hidden="1" customWidth="1"/>
    <col min="10526" max="10526" width="10.7109375" style="472" customWidth="1"/>
    <col min="10527" max="10528" width="0" style="472" hidden="1" customWidth="1"/>
    <col min="10529" max="10529" width="10.7109375" style="472" customWidth="1"/>
    <col min="10530" max="10746" width="9.140625" style="472"/>
    <col min="10747" max="10747" width="10.42578125" style="472" customWidth="1"/>
    <col min="10748" max="10748" width="11.140625" style="472" customWidth="1"/>
    <col min="10749" max="10749" width="41.28515625" style="472" customWidth="1"/>
    <col min="10750" max="10751" width="0" style="472" hidden="1" customWidth="1"/>
    <col min="10752" max="10752" width="10.7109375" style="472" customWidth="1"/>
    <col min="10753" max="10754" width="0" style="472" hidden="1" customWidth="1"/>
    <col min="10755" max="10755" width="10.7109375" style="472" customWidth="1"/>
    <col min="10756" max="10757" width="0" style="472" hidden="1" customWidth="1"/>
    <col min="10758" max="10758" width="10.7109375" style="472" customWidth="1"/>
    <col min="10759" max="10760" width="0" style="472" hidden="1" customWidth="1"/>
    <col min="10761" max="10761" width="10.7109375" style="472" customWidth="1"/>
    <col min="10762" max="10763" width="0" style="472" hidden="1" customWidth="1"/>
    <col min="10764" max="10764" width="10.7109375" style="472" customWidth="1"/>
    <col min="10765" max="10766" width="0" style="472" hidden="1" customWidth="1"/>
    <col min="10767" max="10767" width="10.7109375" style="472" customWidth="1"/>
    <col min="10768" max="10769" width="0" style="472" hidden="1" customWidth="1"/>
    <col min="10770" max="10770" width="10.7109375" style="472" customWidth="1"/>
    <col min="10771" max="10772" width="0" style="472" hidden="1" customWidth="1"/>
    <col min="10773" max="10773" width="10.7109375" style="472" customWidth="1"/>
    <col min="10774" max="10775" width="0" style="472" hidden="1" customWidth="1"/>
    <col min="10776" max="10776" width="10.7109375" style="472" customWidth="1"/>
    <col min="10777" max="10778" width="0" style="472" hidden="1" customWidth="1"/>
    <col min="10779" max="10779" width="10.7109375" style="472" customWidth="1"/>
    <col min="10780" max="10781" width="0" style="472" hidden="1" customWidth="1"/>
    <col min="10782" max="10782" width="10.7109375" style="472" customWidth="1"/>
    <col min="10783" max="10784" width="0" style="472" hidden="1" customWidth="1"/>
    <col min="10785" max="10785" width="10.7109375" style="472" customWidth="1"/>
    <col min="10786" max="11002" width="9.140625" style="472"/>
    <col min="11003" max="11003" width="10.42578125" style="472" customWidth="1"/>
    <col min="11004" max="11004" width="11.140625" style="472" customWidth="1"/>
    <col min="11005" max="11005" width="41.28515625" style="472" customWidth="1"/>
    <col min="11006" max="11007" width="0" style="472" hidden="1" customWidth="1"/>
    <col min="11008" max="11008" width="10.7109375" style="472" customWidth="1"/>
    <col min="11009" max="11010" width="0" style="472" hidden="1" customWidth="1"/>
    <col min="11011" max="11011" width="10.7109375" style="472" customWidth="1"/>
    <col min="11012" max="11013" width="0" style="472" hidden="1" customWidth="1"/>
    <col min="11014" max="11014" width="10.7109375" style="472" customWidth="1"/>
    <col min="11015" max="11016" width="0" style="472" hidden="1" customWidth="1"/>
    <col min="11017" max="11017" width="10.7109375" style="472" customWidth="1"/>
    <col min="11018" max="11019" width="0" style="472" hidden="1" customWidth="1"/>
    <col min="11020" max="11020" width="10.7109375" style="472" customWidth="1"/>
    <col min="11021" max="11022" width="0" style="472" hidden="1" customWidth="1"/>
    <col min="11023" max="11023" width="10.7109375" style="472" customWidth="1"/>
    <col min="11024" max="11025" width="0" style="472" hidden="1" customWidth="1"/>
    <col min="11026" max="11026" width="10.7109375" style="472" customWidth="1"/>
    <col min="11027" max="11028" width="0" style="472" hidden="1" customWidth="1"/>
    <col min="11029" max="11029" width="10.7109375" style="472" customWidth="1"/>
    <col min="11030" max="11031" width="0" style="472" hidden="1" customWidth="1"/>
    <col min="11032" max="11032" width="10.7109375" style="472" customWidth="1"/>
    <col min="11033" max="11034" width="0" style="472" hidden="1" customWidth="1"/>
    <col min="11035" max="11035" width="10.7109375" style="472" customWidth="1"/>
    <col min="11036" max="11037" width="0" style="472" hidden="1" customWidth="1"/>
    <col min="11038" max="11038" width="10.7109375" style="472" customWidth="1"/>
    <col min="11039" max="11040" width="0" style="472" hidden="1" customWidth="1"/>
    <col min="11041" max="11041" width="10.7109375" style="472" customWidth="1"/>
    <col min="11042" max="11258" width="9.140625" style="472"/>
    <col min="11259" max="11259" width="10.42578125" style="472" customWidth="1"/>
    <col min="11260" max="11260" width="11.140625" style="472" customWidth="1"/>
    <col min="11261" max="11261" width="41.28515625" style="472" customWidth="1"/>
    <col min="11262" max="11263" width="0" style="472" hidden="1" customWidth="1"/>
    <col min="11264" max="11264" width="10.7109375" style="472" customWidth="1"/>
    <col min="11265" max="11266" width="0" style="472" hidden="1" customWidth="1"/>
    <col min="11267" max="11267" width="10.7109375" style="472" customWidth="1"/>
    <col min="11268" max="11269" width="0" style="472" hidden="1" customWidth="1"/>
    <col min="11270" max="11270" width="10.7109375" style="472" customWidth="1"/>
    <col min="11271" max="11272" width="0" style="472" hidden="1" customWidth="1"/>
    <col min="11273" max="11273" width="10.7109375" style="472" customWidth="1"/>
    <col min="11274" max="11275" width="0" style="472" hidden="1" customWidth="1"/>
    <col min="11276" max="11276" width="10.7109375" style="472" customWidth="1"/>
    <col min="11277" max="11278" width="0" style="472" hidden="1" customWidth="1"/>
    <col min="11279" max="11279" width="10.7109375" style="472" customWidth="1"/>
    <col min="11280" max="11281" width="0" style="472" hidden="1" customWidth="1"/>
    <col min="11282" max="11282" width="10.7109375" style="472" customWidth="1"/>
    <col min="11283" max="11284" width="0" style="472" hidden="1" customWidth="1"/>
    <col min="11285" max="11285" width="10.7109375" style="472" customWidth="1"/>
    <col min="11286" max="11287" width="0" style="472" hidden="1" customWidth="1"/>
    <col min="11288" max="11288" width="10.7109375" style="472" customWidth="1"/>
    <col min="11289" max="11290" width="0" style="472" hidden="1" customWidth="1"/>
    <col min="11291" max="11291" width="10.7109375" style="472" customWidth="1"/>
    <col min="11292" max="11293" width="0" style="472" hidden="1" customWidth="1"/>
    <col min="11294" max="11294" width="10.7109375" style="472" customWidth="1"/>
    <col min="11295" max="11296" width="0" style="472" hidden="1" customWidth="1"/>
    <col min="11297" max="11297" width="10.7109375" style="472" customWidth="1"/>
    <col min="11298" max="11514" width="9.140625" style="472"/>
    <col min="11515" max="11515" width="10.42578125" style="472" customWidth="1"/>
    <col min="11516" max="11516" width="11.140625" style="472" customWidth="1"/>
    <col min="11517" max="11517" width="41.28515625" style="472" customWidth="1"/>
    <col min="11518" max="11519" width="0" style="472" hidden="1" customWidth="1"/>
    <col min="11520" max="11520" width="10.7109375" style="472" customWidth="1"/>
    <col min="11521" max="11522" width="0" style="472" hidden="1" customWidth="1"/>
    <col min="11523" max="11523" width="10.7109375" style="472" customWidth="1"/>
    <col min="11524" max="11525" width="0" style="472" hidden="1" customWidth="1"/>
    <col min="11526" max="11526" width="10.7109375" style="472" customWidth="1"/>
    <col min="11527" max="11528" width="0" style="472" hidden="1" customWidth="1"/>
    <col min="11529" max="11529" width="10.7109375" style="472" customWidth="1"/>
    <col min="11530" max="11531" width="0" style="472" hidden="1" customWidth="1"/>
    <col min="11532" max="11532" width="10.7109375" style="472" customWidth="1"/>
    <col min="11533" max="11534" width="0" style="472" hidden="1" customWidth="1"/>
    <col min="11535" max="11535" width="10.7109375" style="472" customWidth="1"/>
    <col min="11536" max="11537" width="0" style="472" hidden="1" customWidth="1"/>
    <col min="11538" max="11538" width="10.7109375" style="472" customWidth="1"/>
    <col min="11539" max="11540" width="0" style="472" hidden="1" customWidth="1"/>
    <col min="11541" max="11541" width="10.7109375" style="472" customWidth="1"/>
    <col min="11542" max="11543" width="0" style="472" hidden="1" customWidth="1"/>
    <col min="11544" max="11544" width="10.7109375" style="472" customWidth="1"/>
    <col min="11545" max="11546" width="0" style="472" hidden="1" customWidth="1"/>
    <col min="11547" max="11547" width="10.7109375" style="472" customWidth="1"/>
    <col min="11548" max="11549" width="0" style="472" hidden="1" customWidth="1"/>
    <col min="11550" max="11550" width="10.7109375" style="472" customWidth="1"/>
    <col min="11551" max="11552" width="0" style="472" hidden="1" customWidth="1"/>
    <col min="11553" max="11553" width="10.7109375" style="472" customWidth="1"/>
    <col min="11554" max="11770" width="9.140625" style="472"/>
    <col min="11771" max="11771" width="10.42578125" style="472" customWidth="1"/>
    <col min="11772" max="11772" width="11.140625" style="472" customWidth="1"/>
    <col min="11773" max="11773" width="41.28515625" style="472" customWidth="1"/>
    <col min="11774" max="11775" width="0" style="472" hidden="1" customWidth="1"/>
    <col min="11776" max="11776" width="10.7109375" style="472" customWidth="1"/>
    <col min="11777" max="11778" width="0" style="472" hidden="1" customWidth="1"/>
    <col min="11779" max="11779" width="10.7109375" style="472" customWidth="1"/>
    <col min="11780" max="11781" width="0" style="472" hidden="1" customWidth="1"/>
    <col min="11782" max="11782" width="10.7109375" style="472" customWidth="1"/>
    <col min="11783" max="11784" width="0" style="472" hidden="1" customWidth="1"/>
    <col min="11785" max="11785" width="10.7109375" style="472" customWidth="1"/>
    <col min="11786" max="11787" width="0" style="472" hidden="1" customWidth="1"/>
    <col min="11788" max="11788" width="10.7109375" style="472" customWidth="1"/>
    <col min="11789" max="11790" width="0" style="472" hidden="1" customWidth="1"/>
    <col min="11791" max="11791" width="10.7109375" style="472" customWidth="1"/>
    <col min="11792" max="11793" width="0" style="472" hidden="1" customWidth="1"/>
    <col min="11794" max="11794" width="10.7109375" style="472" customWidth="1"/>
    <col min="11795" max="11796" width="0" style="472" hidden="1" customWidth="1"/>
    <col min="11797" max="11797" width="10.7109375" style="472" customWidth="1"/>
    <col min="11798" max="11799" width="0" style="472" hidden="1" customWidth="1"/>
    <col min="11800" max="11800" width="10.7109375" style="472" customWidth="1"/>
    <col min="11801" max="11802" width="0" style="472" hidden="1" customWidth="1"/>
    <col min="11803" max="11803" width="10.7109375" style="472" customWidth="1"/>
    <col min="11804" max="11805" width="0" style="472" hidden="1" customWidth="1"/>
    <col min="11806" max="11806" width="10.7109375" style="472" customWidth="1"/>
    <col min="11807" max="11808" width="0" style="472" hidden="1" customWidth="1"/>
    <col min="11809" max="11809" width="10.7109375" style="472" customWidth="1"/>
    <col min="11810" max="12026" width="9.140625" style="472"/>
    <col min="12027" max="12027" width="10.42578125" style="472" customWidth="1"/>
    <col min="12028" max="12028" width="11.140625" style="472" customWidth="1"/>
    <col min="12029" max="12029" width="41.28515625" style="472" customWidth="1"/>
    <col min="12030" max="12031" width="0" style="472" hidden="1" customWidth="1"/>
    <col min="12032" max="12032" width="10.7109375" style="472" customWidth="1"/>
    <col min="12033" max="12034" width="0" style="472" hidden="1" customWidth="1"/>
    <col min="12035" max="12035" width="10.7109375" style="472" customWidth="1"/>
    <col min="12036" max="12037" width="0" style="472" hidden="1" customWidth="1"/>
    <col min="12038" max="12038" width="10.7109375" style="472" customWidth="1"/>
    <col min="12039" max="12040" width="0" style="472" hidden="1" customWidth="1"/>
    <col min="12041" max="12041" width="10.7109375" style="472" customWidth="1"/>
    <col min="12042" max="12043" width="0" style="472" hidden="1" customWidth="1"/>
    <col min="12044" max="12044" width="10.7109375" style="472" customWidth="1"/>
    <col min="12045" max="12046" width="0" style="472" hidden="1" customWidth="1"/>
    <col min="12047" max="12047" width="10.7109375" style="472" customWidth="1"/>
    <col min="12048" max="12049" width="0" style="472" hidden="1" customWidth="1"/>
    <col min="12050" max="12050" width="10.7109375" style="472" customWidth="1"/>
    <col min="12051" max="12052" width="0" style="472" hidden="1" customWidth="1"/>
    <col min="12053" max="12053" width="10.7109375" style="472" customWidth="1"/>
    <col min="12054" max="12055" width="0" style="472" hidden="1" customWidth="1"/>
    <col min="12056" max="12056" width="10.7109375" style="472" customWidth="1"/>
    <col min="12057" max="12058" width="0" style="472" hidden="1" customWidth="1"/>
    <col min="12059" max="12059" width="10.7109375" style="472" customWidth="1"/>
    <col min="12060" max="12061" width="0" style="472" hidden="1" customWidth="1"/>
    <col min="12062" max="12062" width="10.7109375" style="472" customWidth="1"/>
    <col min="12063" max="12064" width="0" style="472" hidden="1" customWidth="1"/>
    <col min="12065" max="12065" width="10.7109375" style="472" customWidth="1"/>
    <col min="12066" max="12282" width="9.140625" style="472"/>
    <col min="12283" max="12283" width="10.42578125" style="472" customWidth="1"/>
    <col min="12284" max="12284" width="11.140625" style="472" customWidth="1"/>
    <col min="12285" max="12285" width="41.28515625" style="472" customWidth="1"/>
    <col min="12286" max="12287" width="0" style="472" hidden="1" customWidth="1"/>
    <col min="12288" max="12288" width="10.7109375" style="472" customWidth="1"/>
    <col min="12289" max="12290" width="0" style="472" hidden="1" customWidth="1"/>
    <col min="12291" max="12291" width="10.7109375" style="472" customWidth="1"/>
    <col min="12292" max="12293" width="0" style="472" hidden="1" customWidth="1"/>
    <col min="12294" max="12294" width="10.7109375" style="472" customWidth="1"/>
    <col min="12295" max="12296" width="0" style="472" hidden="1" customWidth="1"/>
    <col min="12297" max="12297" width="10.7109375" style="472" customWidth="1"/>
    <col min="12298" max="12299" width="0" style="472" hidden="1" customWidth="1"/>
    <col min="12300" max="12300" width="10.7109375" style="472" customWidth="1"/>
    <col min="12301" max="12302" width="0" style="472" hidden="1" customWidth="1"/>
    <col min="12303" max="12303" width="10.7109375" style="472" customWidth="1"/>
    <col min="12304" max="12305" width="0" style="472" hidden="1" customWidth="1"/>
    <col min="12306" max="12306" width="10.7109375" style="472" customWidth="1"/>
    <col min="12307" max="12308" width="0" style="472" hidden="1" customWidth="1"/>
    <col min="12309" max="12309" width="10.7109375" style="472" customWidth="1"/>
    <col min="12310" max="12311" width="0" style="472" hidden="1" customWidth="1"/>
    <col min="12312" max="12312" width="10.7109375" style="472" customWidth="1"/>
    <col min="12313" max="12314" width="0" style="472" hidden="1" customWidth="1"/>
    <col min="12315" max="12315" width="10.7109375" style="472" customWidth="1"/>
    <col min="12316" max="12317" width="0" style="472" hidden="1" customWidth="1"/>
    <col min="12318" max="12318" width="10.7109375" style="472" customWidth="1"/>
    <col min="12319" max="12320" width="0" style="472" hidden="1" customWidth="1"/>
    <col min="12321" max="12321" width="10.7109375" style="472" customWidth="1"/>
    <col min="12322" max="12538" width="9.140625" style="472"/>
    <col min="12539" max="12539" width="10.42578125" style="472" customWidth="1"/>
    <col min="12540" max="12540" width="11.140625" style="472" customWidth="1"/>
    <col min="12541" max="12541" width="41.28515625" style="472" customWidth="1"/>
    <col min="12542" max="12543" width="0" style="472" hidden="1" customWidth="1"/>
    <col min="12544" max="12544" width="10.7109375" style="472" customWidth="1"/>
    <col min="12545" max="12546" width="0" style="472" hidden="1" customWidth="1"/>
    <col min="12547" max="12547" width="10.7109375" style="472" customWidth="1"/>
    <col min="12548" max="12549" width="0" style="472" hidden="1" customWidth="1"/>
    <col min="12550" max="12550" width="10.7109375" style="472" customWidth="1"/>
    <col min="12551" max="12552" width="0" style="472" hidden="1" customWidth="1"/>
    <col min="12553" max="12553" width="10.7109375" style="472" customWidth="1"/>
    <col min="12554" max="12555" width="0" style="472" hidden="1" customWidth="1"/>
    <col min="12556" max="12556" width="10.7109375" style="472" customWidth="1"/>
    <col min="12557" max="12558" width="0" style="472" hidden="1" customWidth="1"/>
    <col min="12559" max="12559" width="10.7109375" style="472" customWidth="1"/>
    <col min="12560" max="12561" width="0" style="472" hidden="1" customWidth="1"/>
    <col min="12562" max="12562" width="10.7109375" style="472" customWidth="1"/>
    <col min="12563" max="12564" width="0" style="472" hidden="1" customWidth="1"/>
    <col min="12565" max="12565" width="10.7109375" style="472" customWidth="1"/>
    <col min="12566" max="12567" width="0" style="472" hidden="1" customWidth="1"/>
    <col min="12568" max="12568" width="10.7109375" style="472" customWidth="1"/>
    <col min="12569" max="12570" width="0" style="472" hidden="1" customWidth="1"/>
    <col min="12571" max="12571" width="10.7109375" style="472" customWidth="1"/>
    <col min="12572" max="12573" width="0" style="472" hidden="1" customWidth="1"/>
    <col min="12574" max="12574" width="10.7109375" style="472" customWidth="1"/>
    <col min="12575" max="12576" width="0" style="472" hidden="1" customWidth="1"/>
    <col min="12577" max="12577" width="10.7109375" style="472" customWidth="1"/>
    <col min="12578" max="12794" width="9.140625" style="472"/>
    <col min="12795" max="12795" width="10.42578125" style="472" customWidth="1"/>
    <col min="12796" max="12796" width="11.140625" style="472" customWidth="1"/>
    <col min="12797" max="12797" width="41.28515625" style="472" customWidth="1"/>
    <col min="12798" max="12799" width="0" style="472" hidden="1" customWidth="1"/>
    <col min="12800" max="12800" width="10.7109375" style="472" customWidth="1"/>
    <col min="12801" max="12802" width="0" style="472" hidden="1" customWidth="1"/>
    <col min="12803" max="12803" width="10.7109375" style="472" customWidth="1"/>
    <col min="12804" max="12805" width="0" style="472" hidden="1" customWidth="1"/>
    <col min="12806" max="12806" width="10.7109375" style="472" customWidth="1"/>
    <col min="12807" max="12808" width="0" style="472" hidden="1" customWidth="1"/>
    <col min="12809" max="12809" width="10.7109375" style="472" customWidth="1"/>
    <col min="12810" max="12811" width="0" style="472" hidden="1" customWidth="1"/>
    <col min="12812" max="12812" width="10.7109375" style="472" customWidth="1"/>
    <col min="12813" max="12814" width="0" style="472" hidden="1" customWidth="1"/>
    <col min="12815" max="12815" width="10.7109375" style="472" customWidth="1"/>
    <col min="12816" max="12817" width="0" style="472" hidden="1" customWidth="1"/>
    <col min="12818" max="12818" width="10.7109375" style="472" customWidth="1"/>
    <col min="12819" max="12820" width="0" style="472" hidden="1" customWidth="1"/>
    <col min="12821" max="12821" width="10.7109375" style="472" customWidth="1"/>
    <col min="12822" max="12823" width="0" style="472" hidden="1" customWidth="1"/>
    <col min="12824" max="12824" width="10.7109375" style="472" customWidth="1"/>
    <col min="12825" max="12826" width="0" style="472" hidden="1" customWidth="1"/>
    <col min="12827" max="12827" width="10.7109375" style="472" customWidth="1"/>
    <col min="12828" max="12829" width="0" style="472" hidden="1" customWidth="1"/>
    <col min="12830" max="12830" width="10.7109375" style="472" customWidth="1"/>
    <col min="12831" max="12832" width="0" style="472" hidden="1" customWidth="1"/>
    <col min="12833" max="12833" width="10.7109375" style="472" customWidth="1"/>
    <col min="12834" max="13050" width="9.140625" style="472"/>
    <col min="13051" max="13051" width="10.42578125" style="472" customWidth="1"/>
    <col min="13052" max="13052" width="11.140625" style="472" customWidth="1"/>
    <col min="13053" max="13053" width="41.28515625" style="472" customWidth="1"/>
    <col min="13054" max="13055" width="0" style="472" hidden="1" customWidth="1"/>
    <col min="13056" max="13056" width="10.7109375" style="472" customWidth="1"/>
    <col min="13057" max="13058" width="0" style="472" hidden="1" customWidth="1"/>
    <col min="13059" max="13059" width="10.7109375" style="472" customWidth="1"/>
    <col min="13060" max="13061" width="0" style="472" hidden="1" customWidth="1"/>
    <col min="13062" max="13062" width="10.7109375" style="472" customWidth="1"/>
    <col min="13063" max="13064" width="0" style="472" hidden="1" customWidth="1"/>
    <col min="13065" max="13065" width="10.7109375" style="472" customWidth="1"/>
    <col min="13066" max="13067" width="0" style="472" hidden="1" customWidth="1"/>
    <col min="13068" max="13068" width="10.7109375" style="472" customWidth="1"/>
    <col min="13069" max="13070" width="0" style="472" hidden="1" customWidth="1"/>
    <col min="13071" max="13071" width="10.7109375" style="472" customWidth="1"/>
    <col min="13072" max="13073" width="0" style="472" hidden="1" customWidth="1"/>
    <col min="13074" max="13074" width="10.7109375" style="472" customWidth="1"/>
    <col min="13075" max="13076" width="0" style="472" hidden="1" customWidth="1"/>
    <col min="13077" max="13077" width="10.7109375" style="472" customWidth="1"/>
    <col min="13078" max="13079" width="0" style="472" hidden="1" customWidth="1"/>
    <col min="13080" max="13080" width="10.7109375" style="472" customWidth="1"/>
    <col min="13081" max="13082" width="0" style="472" hidden="1" customWidth="1"/>
    <col min="13083" max="13083" width="10.7109375" style="472" customWidth="1"/>
    <col min="13084" max="13085" width="0" style="472" hidden="1" customWidth="1"/>
    <col min="13086" max="13086" width="10.7109375" style="472" customWidth="1"/>
    <col min="13087" max="13088" width="0" style="472" hidden="1" customWidth="1"/>
    <col min="13089" max="13089" width="10.7109375" style="472" customWidth="1"/>
    <col min="13090" max="13306" width="9.140625" style="472"/>
    <col min="13307" max="13307" width="10.42578125" style="472" customWidth="1"/>
    <col min="13308" max="13308" width="11.140625" style="472" customWidth="1"/>
    <col min="13309" max="13309" width="41.28515625" style="472" customWidth="1"/>
    <col min="13310" max="13311" width="0" style="472" hidden="1" customWidth="1"/>
    <col min="13312" max="13312" width="10.7109375" style="472" customWidth="1"/>
    <col min="13313" max="13314" width="0" style="472" hidden="1" customWidth="1"/>
    <col min="13315" max="13315" width="10.7109375" style="472" customWidth="1"/>
    <col min="13316" max="13317" width="0" style="472" hidden="1" customWidth="1"/>
    <col min="13318" max="13318" width="10.7109375" style="472" customWidth="1"/>
    <col min="13319" max="13320" width="0" style="472" hidden="1" customWidth="1"/>
    <col min="13321" max="13321" width="10.7109375" style="472" customWidth="1"/>
    <col min="13322" max="13323" width="0" style="472" hidden="1" customWidth="1"/>
    <col min="13324" max="13324" width="10.7109375" style="472" customWidth="1"/>
    <col min="13325" max="13326" width="0" style="472" hidden="1" customWidth="1"/>
    <col min="13327" max="13327" width="10.7109375" style="472" customWidth="1"/>
    <col min="13328" max="13329" width="0" style="472" hidden="1" customWidth="1"/>
    <col min="13330" max="13330" width="10.7109375" style="472" customWidth="1"/>
    <col min="13331" max="13332" width="0" style="472" hidden="1" customWidth="1"/>
    <col min="13333" max="13333" width="10.7109375" style="472" customWidth="1"/>
    <col min="13334" max="13335" width="0" style="472" hidden="1" customWidth="1"/>
    <col min="13336" max="13336" width="10.7109375" style="472" customWidth="1"/>
    <col min="13337" max="13338" width="0" style="472" hidden="1" customWidth="1"/>
    <col min="13339" max="13339" width="10.7109375" style="472" customWidth="1"/>
    <col min="13340" max="13341" width="0" style="472" hidden="1" customWidth="1"/>
    <col min="13342" max="13342" width="10.7109375" style="472" customWidth="1"/>
    <col min="13343" max="13344" width="0" style="472" hidden="1" customWidth="1"/>
    <col min="13345" max="13345" width="10.7109375" style="472" customWidth="1"/>
    <col min="13346" max="13562" width="9.140625" style="472"/>
    <col min="13563" max="13563" width="10.42578125" style="472" customWidth="1"/>
    <col min="13564" max="13564" width="11.140625" style="472" customWidth="1"/>
    <col min="13565" max="13565" width="41.28515625" style="472" customWidth="1"/>
    <col min="13566" max="13567" width="0" style="472" hidden="1" customWidth="1"/>
    <col min="13568" max="13568" width="10.7109375" style="472" customWidth="1"/>
    <col min="13569" max="13570" width="0" style="472" hidden="1" customWidth="1"/>
    <col min="13571" max="13571" width="10.7109375" style="472" customWidth="1"/>
    <col min="13572" max="13573" width="0" style="472" hidden="1" customWidth="1"/>
    <col min="13574" max="13574" width="10.7109375" style="472" customWidth="1"/>
    <col min="13575" max="13576" width="0" style="472" hidden="1" customWidth="1"/>
    <col min="13577" max="13577" width="10.7109375" style="472" customWidth="1"/>
    <col min="13578" max="13579" width="0" style="472" hidden="1" customWidth="1"/>
    <col min="13580" max="13580" width="10.7109375" style="472" customWidth="1"/>
    <col min="13581" max="13582" width="0" style="472" hidden="1" customWidth="1"/>
    <col min="13583" max="13583" width="10.7109375" style="472" customWidth="1"/>
    <col min="13584" max="13585" width="0" style="472" hidden="1" customWidth="1"/>
    <col min="13586" max="13586" width="10.7109375" style="472" customWidth="1"/>
    <col min="13587" max="13588" width="0" style="472" hidden="1" customWidth="1"/>
    <col min="13589" max="13589" width="10.7109375" style="472" customWidth="1"/>
    <col min="13590" max="13591" width="0" style="472" hidden="1" customWidth="1"/>
    <col min="13592" max="13592" width="10.7109375" style="472" customWidth="1"/>
    <col min="13593" max="13594" width="0" style="472" hidden="1" customWidth="1"/>
    <col min="13595" max="13595" width="10.7109375" style="472" customWidth="1"/>
    <col min="13596" max="13597" width="0" style="472" hidden="1" customWidth="1"/>
    <col min="13598" max="13598" width="10.7109375" style="472" customWidth="1"/>
    <col min="13599" max="13600" width="0" style="472" hidden="1" customWidth="1"/>
    <col min="13601" max="13601" width="10.7109375" style="472" customWidth="1"/>
    <col min="13602" max="13818" width="9.140625" style="472"/>
    <col min="13819" max="13819" width="10.42578125" style="472" customWidth="1"/>
    <col min="13820" max="13820" width="11.140625" style="472" customWidth="1"/>
    <col min="13821" max="13821" width="41.28515625" style="472" customWidth="1"/>
    <col min="13822" max="13823" width="0" style="472" hidden="1" customWidth="1"/>
    <col min="13824" max="13824" width="10.7109375" style="472" customWidth="1"/>
    <col min="13825" max="13826" width="0" style="472" hidden="1" customWidth="1"/>
    <col min="13827" max="13827" width="10.7109375" style="472" customWidth="1"/>
    <col min="13828" max="13829" width="0" style="472" hidden="1" customWidth="1"/>
    <col min="13830" max="13830" width="10.7109375" style="472" customWidth="1"/>
    <col min="13831" max="13832" width="0" style="472" hidden="1" customWidth="1"/>
    <col min="13833" max="13833" width="10.7109375" style="472" customWidth="1"/>
    <col min="13834" max="13835" width="0" style="472" hidden="1" customWidth="1"/>
    <col min="13836" max="13836" width="10.7109375" style="472" customWidth="1"/>
    <col min="13837" max="13838" width="0" style="472" hidden="1" customWidth="1"/>
    <col min="13839" max="13839" width="10.7109375" style="472" customWidth="1"/>
    <col min="13840" max="13841" width="0" style="472" hidden="1" customWidth="1"/>
    <col min="13842" max="13842" width="10.7109375" style="472" customWidth="1"/>
    <col min="13843" max="13844" width="0" style="472" hidden="1" customWidth="1"/>
    <col min="13845" max="13845" width="10.7109375" style="472" customWidth="1"/>
    <col min="13846" max="13847" width="0" style="472" hidden="1" customWidth="1"/>
    <col min="13848" max="13848" width="10.7109375" style="472" customWidth="1"/>
    <col min="13849" max="13850" width="0" style="472" hidden="1" customWidth="1"/>
    <col min="13851" max="13851" width="10.7109375" style="472" customWidth="1"/>
    <col min="13852" max="13853" width="0" style="472" hidden="1" customWidth="1"/>
    <col min="13854" max="13854" width="10.7109375" style="472" customWidth="1"/>
    <col min="13855" max="13856" width="0" style="472" hidden="1" customWidth="1"/>
    <col min="13857" max="13857" width="10.7109375" style="472" customWidth="1"/>
    <col min="13858" max="14074" width="9.140625" style="472"/>
    <col min="14075" max="14075" width="10.42578125" style="472" customWidth="1"/>
    <col min="14076" max="14076" width="11.140625" style="472" customWidth="1"/>
    <col min="14077" max="14077" width="41.28515625" style="472" customWidth="1"/>
    <col min="14078" max="14079" width="0" style="472" hidden="1" customWidth="1"/>
    <col min="14080" max="14080" width="10.7109375" style="472" customWidth="1"/>
    <col min="14081" max="14082" width="0" style="472" hidden="1" customWidth="1"/>
    <col min="14083" max="14083" width="10.7109375" style="472" customWidth="1"/>
    <col min="14084" max="14085" width="0" style="472" hidden="1" customWidth="1"/>
    <col min="14086" max="14086" width="10.7109375" style="472" customWidth="1"/>
    <col min="14087" max="14088" width="0" style="472" hidden="1" customWidth="1"/>
    <col min="14089" max="14089" width="10.7109375" style="472" customWidth="1"/>
    <col min="14090" max="14091" width="0" style="472" hidden="1" customWidth="1"/>
    <col min="14092" max="14092" width="10.7109375" style="472" customWidth="1"/>
    <col min="14093" max="14094" width="0" style="472" hidden="1" customWidth="1"/>
    <col min="14095" max="14095" width="10.7109375" style="472" customWidth="1"/>
    <col min="14096" max="14097" width="0" style="472" hidden="1" customWidth="1"/>
    <col min="14098" max="14098" width="10.7109375" style="472" customWidth="1"/>
    <col min="14099" max="14100" width="0" style="472" hidden="1" customWidth="1"/>
    <col min="14101" max="14101" width="10.7109375" style="472" customWidth="1"/>
    <col min="14102" max="14103" width="0" style="472" hidden="1" customWidth="1"/>
    <col min="14104" max="14104" width="10.7109375" style="472" customWidth="1"/>
    <col min="14105" max="14106" width="0" style="472" hidden="1" customWidth="1"/>
    <col min="14107" max="14107" width="10.7109375" style="472" customWidth="1"/>
    <col min="14108" max="14109" width="0" style="472" hidden="1" customWidth="1"/>
    <col min="14110" max="14110" width="10.7109375" style="472" customWidth="1"/>
    <col min="14111" max="14112" width="0" style="472" hidden="1" customWidth="1"/>
    <col min="14113" max="14113" width="10.7109375" style="472" customWidth="1"/>
    <col min="14114" max="14330" width="9.140625" style="472"/>
    <col min="14331" max="14331" width="10.42578125" style="472" customWidth="1"/>
    <col min="14332" max="14332" width="11.140625" style="472" customWidth="1"/>
    <col min="14333" max="14333" width="41.28515625" style="472" customWidth="1"/>
    <col min="14334" max="14335" width="0" style="472" hidden="1" customWidth="1"/>
    <col min="14336" max="14336" width="10.7109375" style="472" customWidth="1"/>
    <col min="14337" max="14338" width="0" style="472" hidden="1" customWidth="1"/>
    <col min="14339" max="14339" width="10.7109375" style="472" customWidth="1"/>
    <col min="14340" max="14341" width="0" style="472" hidden="1" customWidth="1"/>
    <col min="14342" max="14342" width="10.7109375" style="472" customWidth="1"/>
    <col min="14343" max="14344" width="0" style="472" hidden="1" customWidth="1"/>
    <col min="14345" max="14345" width="10.7109375" style="472" customWidth="1"/>
    <col min="14346" max="14347" width="0" style="472" hidden="1" customWidth="1"/>
    <col min="14348" max="14348" width="10.7109375" style="472" customWidth="1"/>
    <col min="14349" max="14350" width="0" style="472" hidden="1" customWidth="1"/>
    <col min="14351" max="14351" width="10.7109375" style="472" customWidth="1"/>
    <col min="14352" max="14353" width="0" style="472" hidden="1" customWidth="1"/>
    <col min="14354" max="14354" width="10.7109375" style="472" customWidth="1"/>
    <col min="14355" max="14356" width="0" style="472" hidden="1" customWidth="1"/>
    <col min="14357" max="14357" width="10.7109375" style="472" customWidth="1"/>
    <col min="14358" max="14359" width="0" style="472" hidden="1" customWidth="1"/>
    <col min="14360" max="14360" width="10.7109375" style="472" customWidth="1"/>
    <col min="14361" max="14362" width="0" style="472" hidden="1" customWidth="1"/>
    <col min="14363" max="14363" width="10.7109375" style="472" customWidth="1"/>
    <col min="14364" max="14365" width="0" style="472" hidden="1" customWidth="1"/>
    <col min="14366" max="14366" width="10.7109375" style="472" customWidth="1"/>
    <col min="14367" max="14368" width="0" style="472" hidden="1" customWidth="1"/>
    <col min="14369" max="14369" width="10.7109375" style="472" customWidth="1"/>
    <col min="14370" max="14586" width="9.140625" style="472"/>
    <col min="14587" max="14587" width="10.42578125" style="472" customWidth="1"/>
    <col min="14588" max="14588" width="11.140625" style="472" customWidth="1"/>
    <col min="14589" max="14589" width="41.28515625" style="472" customWidth="1"/>
    <col min="14590" max="14591" width="0" style="472" hidden="1" customWidth="1"/>
    <col min="14592" max="14592" width="10.7109375" style="472" customWidth="1"/>
    <col min="14593" max="14594" width="0" style="472" hidden="1" customWidth="1"/>
    <col min="14595" max="14595" width="10.7109375" style="472" customWidth="1"/>
    <col min="14596" max="14597" width="0" style="472" hidden="1" customWidth="1"/>
    <col min="14598" max="14598" width="10.7109375" style="472" customWidth="1"/>
    <col min="14599" max="14600" width="0" style="472" hidden="1" customWidth="1"/>
    <col min="14601" max="14601" width="10.7109375" style="472" customWidth="1"/>
    <col min="14602" max="14603" width="0" style="472" hidden="1" customWidth="1"/>
    <col min="14604" max="14604" width="10.7109375" style="472" customWidth="1"/>
    <col min="14605" max="14606" width="0" style="472" hidden="1" customWidth="1"/>
    <col min="14607" max="14607" width="10.7109375" style="472" customWidth="1"/>
    <col min="14608" max="14609" width="0" style="472" hidden="1" customWidth="1"/>
    <col min="14610" max="14610" width="10.7109375" style="472" customWidth="1"/>
    <col min="14611" max="14612" width="0" style="472" hidden="1" customWidth="1"/>
    <col min="14613" max="14613" width="10.7109375" style="472" customWidth="1"/>
    <col min="14614" max="14615" width="0" style="472" hidden="1" customWidth="1"/>
    <col min="14616" max="14616" width="10.7109375" style="472" customWidth="1"/>
    <col min="14617" max="14618" width="0" style="472" hidden="1" customWidth="1"/>
    <col min="14619" max="14619" width="10.7109375" style="472" customWidth="1"/>
    <col min="14620" max="14621" width="0" style="472" hidden="1" customWidth="1"/>
    <col min="14622" max="14622" width="10.7109375" style="472" customWidth="1"/>
    <col min="14623" max="14624" width="0" style="472" hidden="1" customWidth="1"/>
    <col min="14625" max="14625" width="10.7109375" style="472" customWidth="1"/>
    <col min="14626" max="14842" width="9.140625" style="472"/>
    <col min="14843" max="14843" width="10.42578125" style="472" customWidth="1"/>
    <col min="14844" max="14844" width="11.140625" style="472" customWidth="1"/>
    <col min="14845" max="14845" width="41.28515625" style="472" customWidth="1"/>
    <col min="14846" max="14847" width="0" style="472" hidden="1" customWidth="1"/>
    <col min="14848" max="14848" width="10.7109375" style="472" customWidth="1"/>
    <col min="14849" max="14850" width="0" style="472" hidden="1" customWidth="1"/>
    <col min="14851" max="14851" width="10.7109375" style="472" customWidth="1"/>
    <col min="14852" max="14853" width="0" style="472" hidden="1" customWidth="1"/>
    <col min="14854" max="14854" width="10.7109375" style="472" customWidth="1"/>
    <col min="14855" max="14856" width="0" style="472" hidden="1" customWidth="1"/>
    <col min="14857" max="14857" width="10.7109375" style="472" customWidth="1"/>
    <col min="14858" max="14859" width="0" style="472" hidden="1" customWidth="1"/>
    <col min="14860" max="14860" width="10.7109375" style="472" customWidth="1"/>
    <col min="14861" max="14862" width="0" style="472" hidden="1" customWidth="1"/>
    <col min="14863" max="14863" width="10.7109375" style="472" customWidth="1"/>
    <col min="14864" max="14865" width="0" style="472" hidden="1" customWidth="1"/>
    <col min="14866" max="14866" width="10.7109375" style="472" customWidth="1"/>
    <col min="14867" max="14868" width="0" style="472" hidden="1" customWidth="1"/>
    <col min="14869" max="14869" width="10.7109375" style="472" customWidth="1"/>
    <col min="14870" max="14871" width="0" style="472" hidden="1" customWidth="1"/>
    <col min="14872" max="14872" width="10.7109375" style="472" customWidth="1"/>
    <col min="14873" max="14874" width="0" style="472" hidden="1" customWidth="1"/>
    <col min="14875" max="14875" width="10.7109375" style="472" customWidth="1"/>
    <col min="14876" max="14877" width="0" style="472" hidden="1" customWidth="1"/>
    <col min="14878" max="14878" width="10.7109375" style="472" customWidth="1"/>
    <col min="14879" max="14880" width="0" style="472" hidden="1" customWidth="1"/>
    <col min="14881" max="14881" width="10.7109375" style="472" customWidth="1"/>
    <col min="14882" max="15098" width="9.140625" style="472"/>
    <col min="15099" max="15099" width="10.42578125" style="472" customWidth="1"/>
    <col min="15100" max="15100" width="11.140625" style="472" customWidth="1"/>
    <col min="15101" max="15101" width="41.28515625" style="472" customWidth="1"/>
    <col min="15102" max="15103" width="0" style="472" hidden="1" customWidth="1"/>
    <col min="15104" max="15104" width="10.7109375" style="472" customWidth="1"/>
    <col min="15105" max="15106" width="0" style="472" hidden="1" customWidth="1"/>
    <col min="15107" max="15107" width="10.7109375" style="472" customWidth="1"/>
    <col min="15108" max="15109" width="0" style="472" hidden="1" customWidth="1"/>
    <col min="15110" max="15110" width="10.7109375" style="472" customWidth="1"/>
    <col min="15111" max="15112" width="0" style="472" hidden="1" customWidth="1"/>
    <col min="15113" max="15113" width="10.7109375" style="472" customWidth="1"/>
    <col min="15114" max="15115" width="0" style="472" hidden="1" customWidth="1"/>
    <col min="15116" max="15116" width="10.7109375" style="472" customWidth="1"/>
    <col min="15117" max="15118" width="0" style="472" hidden="1" customWidth="1"/>
    <col min="15119" max="15119" width="10.7109375" style="472" customWidth="1"/>
    <col min="15120" max="15121" width="0" style="472" hidden="1" customWidth="1"/>
    <col min="15122" max="15122" width="10.7109375" style="472" customWidth="1"/>
    <col min="15123" max="15124" width="0" style="472" hidden="1" customWidth="1"/>
    <col min="15125" max="15125" width="10.7109375" style="472" customWidth="1"/>
    <col min="15126" max="15127" width="0" style="472" hidden="1" customWidth="1"/>
    <col min="15128" max="15128" width="10.7109375" style="472" customWidth="1"/>
    <col min="15129" max="15130" width="0" style="472" hidden="1" customWidth="1"/>
    <col min="15131" max="15131" width="10.7109375" style="472" customWidth="1"/>
    <col min="15132" max="15133" width="0" style="472" hidden="1" customWidth="1"/>
    <col min="15134" max="15134" width="10.7109375" style="472" customWidth="1"/>
    <col min="15135" max="15136" width="0" style="472" hidden="1" customWidth="1"/>
    <col min="15137" max="15137" width="10.7109375" style="472" customWidth="1"/>
    <col min="15138" max="15354" width="9.140625" style="472"/>
    <col min="15355" max="15355" width="10.42578125" style="472" customWidth="1"/>
    <col min="15356" max="15356" width="11.140625" style="472" customWidth="1"/>
    <col min="15357" max="15357" width="41.28515625" style="472" customWidth="1"/>
    <col min="15358" max="15359" width="0" style="472" hidden="1" customWidth="1"/>
    <col min="15360" max="15360" width="10.7109375" style="472" customWidth="1"/>
    <col min="15361" max="15362" width="0" style="472" hidden="1" customWidth="1"/>
    <col min="15363" max="15363" width="10.7109375" style="472" customWidth="1"/>
    <col min="15364" max="15365" width="0" style="472" hidden="1" customWidth="1"/>
    <col min="15366" max="15366" width="10.7109375" style="472" customWidth="1"/>
    <col min="15367" max="15368" width="0" style="472" hidden="1" customWidth="1"/>
    <col min="15369" max="15369" width="10.7109375" style="472" customWidth="1"/>
    <col min="15370" max="15371" width="0" style="472" hidden="1" customWidth="1"/>
    <col min="15372" max="15372" width="10.7109375" style="472" customWidth="1"/>
    <col min="15373" max="15374" width="0" style="472" hidden="1" customWidth="1"/>
    <col min="15375" max="15375" width="10.7109375" style="472" customWidth="1"/>
    <col min="15376" max="15377" width="0" style="472" hidden="1" customWidth="1"/>
    <col min="15378" max="15378" width="10.7109375" style="472" customWidth="1"/>
    <col min="15379" max="15380" width="0" style="472" hidden="1" customWidth="1"/>
    <col min="15381" max="15381" width="10.7109375" style="472" customWidth="1"/>
    <col min="15382" max="15383" width="0" style="472" hidden="1" customWidth="1"/>
    <col min="15384" max="15384" width="10.7109375" style="472" customWidth="1"/>
    <col min="15385" max="15386" width="0" style="472" hidden="1" customWidth="1"/>
    <col min="15387" max="15387" width="10.7109375" style="472" customWidth="1"/>
    <col min="15388" max="15389" width="0" style="472" hidden="1" customWidth="1"/>
    <col min="15390" max="15390" width="10.7109375" style="472" customWidth="1"/>
    <col min="15391" max="15392" width="0" style="472" hidden="1" customWidth="1"/>
    <col min="15393" max="15393" width="10.7109375" style="472" customWidth="1"/>
    <col min="15394" max="15610" width="9.140625" style="472"/>
    <col min="15611" max="15611" width="10.42578125" style="472" customWidth="1"/>
    <col min="15612" max="15612" width="11.140625" style="472" customWidth="1"/>
    <col min="15613" max="15613" width="41.28515625" style="472" customWidth="1"/>
    <col min="15614" max="15615" width="0" style="472" hidden="1" customWidth="1"/>
    <col min="15616" max="15616" width="10.7109375" style="472" customWidth="1"/>
    <col min="15617" max="15618" width="0" style="472" hidden="1" customWidth="1"/>
    <col min="15619" max="15619" width="10.7109375" style="472" customWidth="1"/>
    <col min="15620" max="15621" width="0" style="472" hidden="1" customWidth="1"/>
    <col min="15622" max="15622" width="10.7109375" style="472" customWidth="1"/>
    <col min="15623" max="15624" width="0" style="472" hidden="1" customWidth="1"/>
    <col min="15625" max="15625" width="10.7109375" style="472" customWidth="1"/>
    <col min="15626" max="15627" width="0" style="472" hidden="1" customWidth="1"/>
    <col min="15628" max="15628" width="10.7109375" style="472" customWidth="1"/>
    <col min="15629" max="15630" width="0" style="472" hidden="1" customWidth="1"/>
    <col min="15631" max="15631" width="10.7109375" style="472" customWidth="1"/>
    <col min="15632" max="15633" width="0" style="472" hidden="1" customWidth="1"/>
    <col min="15634" max="15634" width="10.7109375" style="472" customWidth="1"/>
    <col min="15635" max="15636" width="0" style="472" hidden="1" customWidth="1"/>
    <col min="15637" max="15637" width="10.7109375" style="472" customWidth="1"/>
    <col min="15638" max="15639" width="0" style="472" hidden="1" customWidth="1"/>
    <col min="15640" max="15640" width="10.7109375" style="472" customWidth="1"/>
    <col min="15641" max="15642" width="0" style="472" hidden="1" customWidth="1"/>
    <col min="15643" max="15643" width="10.7109375" style="472" customWidth="1"/>
    <col min="15644" max="15645" width="0" style="472" hidden="1" customWidth="1"/>
    <col min="15646" max="15646" width="10.7109375" style="472" customWidth="1"/>
    <col min="15647" max="15648" width="0" style="472" hidden="1" customWidth="1"/>
    <col min="15649" max="15649" width="10.7109375" style="472" customWidth="1"/>
    <col min="15650" max="15866" width="9.140625" style="472"/>
    <col min="15867" max="15867" width="10.42578125" style="472" customWidth="1"/>
    <col min="15868" max="15868" width="11.140625" style="472" customWidth="1"/>
    <col min="15869" max="15869" width="41.28515625" style="472" customWidth="1"/>
    <col min="15870" max="15871" width="0" style="472" hidden="1" customWidth="1"/>
    <col min="15872" max="15872" width="10.7109375" style="472" customWidth="1"/>
    <col min="15873" max="15874" width="0" style="472" hidden="1" customWidth="1"/>
    <col min="15875" max="15875" width="10.7109375" style="472" customWidth="1"/>
    <col min="15876" max="15877" width="0" style="472" hidden="1" customWidth="1"/>
    <col min="15878" max="15878" width="10.7109375" style="472" customWidth="1"/>
    <col min="15879" max="15880" width="0" style="472" hidden="1" customWidth="1"/>
    <col min="15881" max="15881" width="10.7109375" style="472" customWidth="1"/>
    <col min="15882" max="15883" width="0" style="472" hidden="1" customWidth="1"/>
    <col min="15884" max="15884" width="10.7109375" style="472" customWidth="1"/>
    <col min="15885" max="15886" width="0" style="472" hidden="1" customWidth="1"/>
    <col min="15887" max="15887" width="10.7109375" style="472" customWidth="1"/>
    <col min="15888" max="15889" width="0" style="472" hidden="1" customWidth="1"/>
    <col min="15890" max="15890" width="10.7109375" style="472" customWidth="1"/>
    <col min="15891" max="15892" width="0" style="472" hidden="1" customWidth="1"/>
    <col min="15893" max="15893" width="10.7109375" style="472" customWidth="1"/>
    <col min="15894" max="15895" width="0" style="472" hidden="1" customWidth="1"/>
    <col min="15896" max="15896" width="10.7109375" style="472" customWidth="1"/>
    <col min="15897" max="15898" width="0" style="472" hidden="1" customWidth="1"/>
    <col min="15899" max="15899" width="10.7109375" style="472" customWidth="1"/>
    <col min="15900" max="15901" width="0" style="472" hidden="1" customWidth="1"/>
    <col min="15902" max="15902" width="10.7109375" style="472" customWidth="1"/>
    <col min="15903" max="15904" width="0" style="472" hidden="1" customWidth="1"/>
    <col min="15905" max="15905" width="10.7109375" style="472" customWidth="1"/>
    <col min="15906" max="16122" width="9.140625" style="472"/>
    <col min="16123" max="16123" width="10.42578125" style="472" customWidth="1"/>
    <col min="16124" max="16124" width="11.140625" style="472" customWidth="1"/>
    <col min="16125" max="16125" width="41.28515625" style="472" customWidth="1"/>
    <col min="16126" max="16127" width="0" style="472" hidden="1" customWidth="1"/>
    <col min="16128" max="16128" width="10.7109375" style="472" customWidth="1"/>
    <col min="16129" max="16130" width="0" style="472" hidden="1" customWidth="1"/>
    <col min="16131" max="16131" width="10.7109375" style="472" customWidth="1"/>
    <col min="16132" max="16133" width="0" style="472" hidden="1" customWidth="1"/>
    <col min="16134" max="16134" width="10.7109375" style="472" customWidth="1"/>
    <col min="16135" max="16136" width="0" style="472" hidden="1" customWidth="1"/>
    <col min="16137" max="16137" width="10.7109375" style="472" customWidth="1"/>
    <col min="16138" max="16139" width="0" style="472" hidden="1" customWidth="1"/>
    <col min="16140" max="16140" width="10.7109375" style="472" customWidth="1"/>
    <col min="16141" max="16142" width="0" style="472" hidden="1" customWidth="1"/>
    <col min="16143" max="16143" width="10.7109375" style="472" customWidth="1"/>
    <col min="16144" max="16145" width="0" style="472" hidden="1" customWidth="1"/>
    <col min="16146" max="16146" width="10.7109375" style="472" customWidth="1"/>
    <col min="16147" max="16148" width="0" style="472" hidden="1" customWidth="1"/>
    <col min="16149" max="16149" width="10.7109375" style="472" customWidth="1"/>
    <col min="16150" max="16151" width="0" style="472" hidden="1" customWidth="1"/>
    <col min="16152" max="16152" width="10.7109375" style="472" customWidth="1"/>
    <col min="16153" max="16154" width="0" style="472" hidden="1" customWidth="1"/>
    <col min="16155" max="16155" width="10.7109375" style="472" customWidth="1"/>
    <col min="16156" max="16157" width="0" style="472" hidden="1" customWidth="1"/>
    <col min="16158" max="16158" width="10.7109375" style="472" customWidth="1"/>
    <col min="16159" max="16160" width="0" style="472" hidden="1" customWidth="1"/>
    <col min="16161" max="16161" width="10.7109375" style="472" customWidth="1"/>
    <col min="16162" max="16384" width="9.140625" style="472"/>
  </cols>
  <sheetData>
    <row r="1" spans="1:33" x14ac:dyDescent="0.2">
      <c r="AG1" s="547" t="s">
        <v>1831</v>
      </c>
    </row>
    <row r="2" spans="1:33" ht="12.75" thickBot="1" x14ac:dyDescent="0.25">
      <c r="AG2" s="547" t="s">
        <v>1724</v>
      </c>
    </row>
    <row r="3" spans="1:33" ht="43.5" customHeight="1" x14ac:dyDescent="0.2">
      <c r="A3" s="814" t="s">
        <v>403</v>
      </c>
      <c r="B3" s="817" t="s">
        <v>1693</v>
      </c>
      <c r="C3" s="820" t="s">
        <v>1694</v>
      </c>
      <c r="D3" s="813" t="s">
        <v>557</v>
      </c>
      <c r="E3" s="813"/>
      <c r="F3" s="813"/>
      <c r="G3" s="813" t="s">
        <v>1121</v>
      </c>
      <c r="H3" s="813"/>
      <c r="I3" s="813"/>
      <c r="J3" s="813" t="s">
        <v>1304</v>
      </c>
      <c r="K3" s="813"/>
      <c r="L3" s="813"/>
      <c r="M3" s="813" t="s">
        <v>557</v>
      </c>
      <c r="N3" s="813"/>
      <c r="O3" s="813"/>
      <c r="P3" s="813" t="s">
        <v>1121</v>
      </c>
      <c r="Q3" s="813"/>
      <c r="R3" s="813"/>
      <c r="S3" s="813" t="s">
        <v>1304</v>
      </c>
      <c r="T3" s="813"/>
      <c r="U3" s="813"/>
      <c r="V3" s="813" t="s">
        <v>557</v>
      </c>
      <c r="W3" s="813"/>
      <c r="X3" s="813"/>
      <c r="Y3" s="813" t="s">
        <v>1121</v>
      </c>
      <c r="Z3" s="813"/>
      <c r="AA3" s="813"/>
      <c r="AB3" s="813" t="s">
        <v>1304</v>
      </c>
      <c r="AC3" s="813"/>
      <c r="AD3" s="813"/>
      <c r="AE3" s="823" t="s">
        <v>1311</v>
      </c>
      <c r="AF3" s="824"/>
      <c r="AG3" s="825"/>
    </row>
    <row r="4" spans="1:33" ht="23.25" customHeight="1" x14ac:dyDescent="0.2">
      <c r="A4" s="815"/>
      <c r="B4" s="818"/>
      <c r="C4" s="821"/>
      <c r="D4" s="826" t="s">
        <v>405</v>
      </c>
      <c r="E4" s="826"/>
      <c r="F4" s="826"/>
      <c r="G4" s="826" t="s">
        <v>405</v>
      </c>
      <c r="H4" s="826"/>
      <c r="I4" s="826"/>
      <c r="J4" s="826" t="s">
        <v>405</v>
      </c>
      <c r="K4" s="826"/>
      <c r="L4" s="826"/>
      <c r="M4" s="826" t="s">
        <v>429</v>
      </c>
      <c r="N4" s="826"/>
      <c r="O4" s="826"/>
      <c r="P4" s="826" t="s">
        <v>429</v>
      </c>
      <c r="Q4" s="826"/>
      <c r="R4" s="826"/>
      <c r="S4" s="826" t="s">
        <v>429</v>
      </c>
      <c r="T4" s="826"/>
      <c r="U4" s="826"/>
      <c r="V4" s="826" t="s">
        <v>1695</v>
      </c>
      <c r="W4" s="826"/>
      <c r="X4" s="826"/>
      <c r="Y4" s="826" t="s">
        <v>1695</v>
      </c>
      <c r="Z4" s="826"/>
      <c r="AA4" s="826"/>
      <c r="AB4" s="826" t="s">
        <v>1695</v>
      </c>
      <c r="AC4" s="826"/>
      <c r="AD4" s="826"/>
      <c r="AE4" s="827" t="s">
        <v>1695</v>
      </c>
      <c r="AF4" s="828"/>
      <c r="AG4" s="829"/>
    </row>
    <row r="5" spans="1:33" ht="28.5" customHeight="1" thickBot="1" x14ac:dyDescent="0.25">
      <c r="A5" s="816"/>
      <c r="B5" s="819"/>
      <c r="C5" s="822"/>
      <c r="D5" s="473" t="s">
        <v>430</v>
      </c>
      <c r="E5" s="473" t="s">
        <v>431</v>
      </c>
      <c r="F5" s="473" t="s">
        <v>406</v>
      </c>
      <c r="G5" s="473" t="s">
        <v>430</v>
      </c>
      <c r="H5" s="473" t="s">
        <v>431</v>
      </c>
      <c r="I5" s="473" t="s">
        <v>406</v>
      </c>
      <c r="J5" s="473" t="s">
        <v>430</v>
      </c>
      <c r="K5" s="473" t="s">
        <v>431</v>
      </c>
      <c r="L5" s="473" t="s">
        <v>406</v>
      </c>
      <c r="M5" s="473" t="s">
        <v>430</v>
      </c>
      <c r="N5" s="473" t="s">
        <v>431</v>
      </c>
      <c r="O5" s="473" t="s">
        <v>406</v>
      </c>
      <c r="P5" s="473" t="s">
        <v>430</v>
      </c>
      <c r="Q5" s="473" t="s">
        <v>431</v>
      </c>
      <c r="R5" s="473" t="s">
        <v>406</v>
      </c>
      <c r="S5" s="473" t="s">
        <v>430</v>
      </c>
      <c r="T5" s="473" t="s">
        <v>431</v>
      </c>
      <c r="U5" s="473" t="s">
        <v>406</v>
      </c>
      <c r="V5" s="473" t="s">
        <v>430</v>
      </c>
      <c r="W5" s="473" t="s">
        <v>431</v>
      </c>
      <c r="X5" s="473" t="s">
        <v>406</v>
      </c>
      <c r="Y5" s="473" t="s">
        <v>430</v>
      </c>
      <c r="Z5" s="473" t="s">
        <v>431</v>
      </c>
      <c r="AA5" s="473" t="s">
        <v>406</v>
      </c>
      <c r="AB5" s="473" t="s">
        <v>430</v>
      </c>
      <c r="AC5" s="473" t="s">
        <v>431</v>
      </c>
      <c r="AD5" s="473" t="s">
        <v>406</v>
      </c>
      <c r="AE5" s="473" t="s">
        <v>430</v>
      </c>
      <c r="AF5" s="473" t="s">
        <v>431</v>
      </c>
      <c r="AG5" s="473" t="s">
        <v>406</v>
      </c>
    </row>
    <row r="6" spans="1:33" ht="20.25" customHeight="1" x14ac:dyDescent="0.2">
      <c r="A6" s="201">
        <v>900090</v>
      </c>
      <c r="B6" s="202" t="s">
        <v>396</v>
      </c>
      <c r="C6" s="203" t="s">
        <v>1696</v>
      </c>
      <c r="D6" s="474">
        <v>381</v>
      </c>
      <c r="E6" s="474"/>
      <c r="F6" s="474">
        <f>+D6+E6</f>
        <v>381</v>
      </c>
      <c r="G6" s="474">
        <v>381</v>
      </c>
      <c r="H6" s="474"/>
      <c r="I6" s="474">
        <f>+G6+H6</f>
        <v>381</v>
      </c>
      <c r="J6" s="474">
        <v>0</v>
      </c>
      <c r="K6" s="474"/>
      <c r="L6" s="474">
        <f>+J6+K6</f>
        <v>0</v>
      </c>
      <c r="M6" s="474"/>
      <c r="N6" s="474"/>
      <c r="O6" s="474">
        <f>+M6+N6</f>
        <v>0</v>
      </c>
      <c r="P6" s="474"/>
      <c r="Q6" s="474"/>
      <c r="R6" s="474">
        <f>+P6+Q6</f>
        <v>0</v>
      </c>
      <c r="S6" s="474"/>
      <c r="T6" s="474"/>
      <c r="U6" s="474">
        <f>+S6+T6</f>
        <v>0</v>
      </c>
      <c r="V6" s="474">
        <f t="shared" ref="V6:W18" si="0">+D6+M6</f>
        <v>381</v>
      </c>
      <c r="W6" s="474">
        <f t="shared" si="0"/>
        <v>0</v>
      </c>
      <c r="X6" s="474">
        <f>+V6+W6</f>
        <v>381</v>
      </c>
      <c r="Y6" s="474">
        <f t="shared" ref="Y6:Z18" si="1">+G6+P6</f>
        <v>381</v>
      </c>
      <c r="Z6" s="474">
        <f t="shared" si="1"/>
        <v>0</v>
      </c>
      <c r="AA6" s="474">
        <f>+Y6+Z6</f>
        <v>381</v>
      </c>
      <c r="AB6" s="474">
        <f t="shared" ref="AB6:AD18" si="2">+J6+S6</f>
        <v>0</v>
      </c>
      <c r="AC6" s="474">
        <f t="shared" si="2"/>
        <v>0</v>
      </c>
      <c r="AD6" s="474">
        <f t="shared" si="2"/>
        <v>0</v>
      </c>
      <c r="AE6" s="474">
        <v>0</v>
      </c>
      <c r="AF6" s="474">
        <v>0</v>
      </c>
      <c r="AG6" s="475">
        <v>0</v>
      </c>
    </row>
    <row r="7" spans="1:33" ht="20.25" customHeight="1" x14ac:dyDescent="0.2">
      <c r="A7" s="204">
        <v>900090</v>
      </c>
      <c r="B7" s="205" t="s">
        <v>396</v>
      </c>
      <c r="C7" s="104" t="s">
        <v>1697</v>
      </c>
      <c r="D7" s="476">
        <v>699</v>
      </c>
      <c r="E7" s="476"/>
      <c r="F7" s="476">
        <f t="shared" ref="F7:F13" si="3">+D7+E7</f>
        <v>699</v>
      </c>
      <c r="G7" s="476">
        <v>699</v>
      </c>
      <c r="H7" s="476"/>
      <c r="I7" s="476">
        <f t="shared" ref="I7:I13" si="4">+G7+H7</f>
        <v>699</v>
      </c>
      <c r="J7" s="476">
        <v>0</v>
      </c>
      <c r="K7" s="476"/>
      <c r="L7" s="476">
        <f t="shared" ref="L7:L13" si="5">+J7+K7</f>
        <v>0</v>
      </c>
      <c r="M7" s="476"/>
      <c r="N7" s="476"/>
      <c r="O7" s="476">
        <f t="shared" ref="O7:O13" si="6">+M7+N7</f>
        <v>0</v>
      </c>
      <c r="P7" s="476"/>
      <c r="Q7" s="476"/>
      <c r="R7" s="476">
        <f t="shared" ref="R7:R13" si="7">+P7+Q7</f>
        <v>0</v>
      </c>
      <c r="S7" s="476"/>
      <c r="T7" s="476"/>
      <c r="U7" s="476">
        <f t="shared" ref="U7:U13" si="8">+S7+T7</f>
        <v>0</v>
      </c>
      <c r="V7" s="476">
        <f t="shared" si="0"/>
        <v>699</v>
      </c>
      <c r="W7" s="476">
        <f t="shared" si="0"/>
        <v>0</v>
      </c>
      <c r="X7" s="476">
        <f t="shared" ref="X7:X13" si="9">+V7+W7</f>
        <v>699</v>
      </c>
      <c r="Y7" s="476">
        <f t="shared" si="1"/>
        <v>699</v>
      </c>
      <c r="Z7" s="476">
        <f t="shared" si="1"/>
        <v>0</v>
      </c>
      <c r="AA7" s="476">
        <f t="shared" ref="AA7:AA13" si="10">+Y7+Z7</f>
        <v>699</v>
      </c>
      <c r="AB7" s="476">
        <f t="shared" si="2"/>
        <v>0</v>
      </c>
      <c r="AC7" s="476">
        <f t="shared" si="2"/>
        <v>0</v>
      </c>
      <c r="AD7" s="476">
        <f t="shared" si="2"/>
        <v>0</v>
      </c>
      <c r="AE7" s="476">
        <v>0</v>
      </c>
      <c r="AF7" s="476">
        <v>0</v>
      </c>
      <c r="AG7" s="477">
        <v>0</v>
      </c>
    </row>
    <row r="8" spans="1:33" ht="20.25" customHeight="1" x14ac:dyDescent="0.2">
      <c r="A8" s="204">
        <v>900090</v>
      </c>
      <c r="B8" s="205" t="s">
        <v>396</v>
      </c>
      <c r="C8" s="104" t="s">
        <v>1698</v>
      </c>
      <c r="D8" s="476">
        <v>3556</v>
      </c>
      <c r="E8" s="476"/>
      <c r="F8" s="476">
        <f t="shared" si="3"/>
        <v>3556</v>
      </c>
      <c r="G8" s="476">
        <v>3899</v>
      </c>
      <c r="H8" s="476"/>
      <c r="I8" s="476">
        <f t="shared" si="4"/>
        <v>3899</v>
      </c>
      <c r="J8" s="476">
        <v>0</v>
      </c>
      <c r="K8" s="476"/>
      <c r="L8" s="476">
        <f t="shared" si="5"/>
        <v>0</v>
      </c>
      <c r="M8" s="476"/>
      <c r="N8" s="476"/>
      <c r="O8" s="476">
        <f t="shared" si="6"/>
        <v>0</v>
      </c>
      <c r="P8" s="476"/>
      <c r="Q8" s="476"/>
      <c r="R8" s="476">
        <f t="shared" si="7"/>
        <v>0</v>
      </c>
      <c r="S8" s="476"/>
      <c r="T8" s="476"/>
      <c r="U8" s="476">
        <f t="shared" si="8"/>
        <v>0</v>
      </c>
      <c r="V8" s="476">
        <f t="shared" si="0"/>
        <v>3556</v>
      </c>
      <c r="W8" s="476">
        <f t="shared" si="0"/>
        <v>0</v>
      </c>
      <c r="X8" s="476">
        <f t="shared" si="9"/>
        <v>3556</v>
      </c>
      <c r="Y8" s="476">
        <f t="shared" si="1"/>
        <v>3899</v>
      </c>
      <c r="Z8" s="476">
        <f t="shared" si="1"/>
        <v>0</v>
      </c>
      <c r="AA8" s="476">
        <f t="shared" si="10"/>
        <v>3899</v>
      </c>
      <c r="AB8" s="476">
        <f t="shared" si="2"/>
        <v>0</v>
      </c>
      <c r="AC8" s="476">
        <f t="shared" si="2"/>
        <v>0</v>
      </c>
      <c r="AD8" s="476">
        <f t="shared" si="2"/>
        <v>0</v>
      </c>
      <c r="AE8" s="476">
        <v>0</v>
      </c>
      <c r="AF8" s="476">
        <v>0</v>
      </c>
      <c r="AG8" s="477">
        <v>0</v>
      </c>
    </row>
    <row r="9" spans="1:33" ht="20.25" customHeight="1" x14ac:dyDescent="0.2">
      <c r="A9" s="204" t="s">
        <v>1699</v>
      </c>
      <c r="B9" s="205" t="s">
        <v>396</v>
      </c>
      <c r="C9" s="104" t="s">
        <v>1700</v>
      </c>
      <c r="D9" s="476"/>
      <c r="E9" s="476"/>
      <c r="F9" s="476">
        <f t="shared" si="3"/>
        <v>0</v>
      </c>
      <c r="G9" s="476"/>
      <c r="H9" s="476"/>
      <c r="I9" s="476">
        <f t="shared" si="4"/>
        <v>0</v>
      </c>
      <c r="J9" s="476"/>
      <c r="K9" s="476"/>
      <c r="L9" s="476">
        <f t="shared" si="5"/>
        <v>0</v>
      </c>
      <c r="M9" s="476"/>
      <c r="N9" s="476"/>
      <c r="O9" s="476">
        <f t="shared" si="6"/>
        <v>0</v>
      </c>
      <c r="P9" s="476">
        <v>5600</v>
      </c>
      <c r="Q9" s="476"/>
      <c r="R9" s="476">
        <f t="shared" si="7"/>
        <v>5600</v>
      </c>
      <c r="S9" s="476">
        <v>1254</v>
      </c>
      <c r="T9" s="476">
        <v>264</v>
      </c>
      <c r="U9" s="476">
        <f t="shared" si="8"/>
        <v>1518</v>
      </c>
      <c r="V9" s="476">
        <f t="shared" si="0"/>
        <v>0</v>
      </c>
      <c r="W9" s="476">
        <f t="shared" si="0"/>
        <v>0</v>
      </c>
      <c r="X9" s="476">
        <f t="shared" si="9"/>
        <v>0</v>
      </c>
      <c r="Y9" s="476">
        <f t="shared" si="1"/>
        <v>5600</v>
      </c>
      <c r="Z9" s="476">
        <f t="shared" si="1"/>
        <v>0</v>
      </c>
      <c r="AA9" s="476">
        <f t="shared" si="10"/>
        <v>5600</v>
      </c>
      <c r="AB9" s="476">
        <f t="shared" si="2"/>
        <v>1254</v>
      </c>
      <c r="AC9" s="476">
        <f t="shared" si="2"/>
        <v>264</v>
      </c>
      <c r="AD9" s="476">
        <f t="shared" si="2"/>
        <v>1518</v>
      </c>
      <c r="AE9" s="476">
        <v>1254</v>
      </c>
      <c r="AF9" s="476">
        <v>264</v>
      </c>
      <c r="AG9" s="477">
        <v>1518</v>
      </c>
    </row>
    <row r="10" spans="1:33" ht="20.25" customHeight="1" x14ac:dyDescent="0.2">
      <c r="A10" s="204" t="s">
        <v>1701</v>
      </c>
      <c r="B10" s="205" t="s">
        <v>396</v>
      </c>
      <c r="C10" s="206" t="s">
        <v>1702</v>
      </c>
      <c r="D10" s="476"/>
      <c r="E10" s="476"/>
      <c r="F10" s="476">
        <f t="shared" si="3"/>
        <v>0</v>
      </c>
      <c r="G10" s="476">
        <v>450</v>
      </c>
      <c r="H10" s="476"/>
      <c r="I10" s="476">
        <f t="shared" si="4"/>
        <v>450</v>
      </c>
      <c r="J10" s="476">
        <v>927</v>
      </c>
      <c r="K10" s="476">
        <v>98</v>
      </c>
      <c r="L10" s="476">
        <f t="shared" si="5"/>
        <v>1025</v>
      </c>
      <c r="M10" s="476"/>
      <c r="N10" s="476"/>
      <c r="O10" s="476">
        <f t="shared" si="6"/>
        <v>0</v>
      </c>
      <c r="P10" s="476"/>
      <c r="Q10" s="476"/>
      <c r="R10" s="476">
        <f t="shared" si="7"/>
        <v>0</v>
      </c>
      <c r="S10" s="476"/>
      <c r="T10" s="476"/>
      <c r="U10" s="476">
        <f t="shared" si="8"/>
        <v>0</v>
      </c>
      <c r="V10" s="476">
        <f t="shared" si="0"/>
        <v>0</v>
      </c>
      <c r="W10" s="476">
        <f t="shared" si="0"/>
        <v>0</v>
      </c>
      <c r="X10" s="476">
        <f t="shared" si="9"/>
        <v>0</v>
      </c>
      <c r="Y10" s="476">
        <f t="shared" si="1"/>
        <v>450</v>
      </c>
      <c r="Z10" s="476">
        <f t="shared" si="1"/>
        <v>0</v>
      </c>
      <c r="AA10" s="476">
        <f t="shared" si="10"/>
        <v>450</v>
      </c>
      <c r="AB10" s="476">
        <f t="shared" si="2"/>
        <v>927</v>
      </c>
      <c r="AC10" s="476">
        <f t="shared" si="2"/>
        <v>98</v>
      </c>
      <c r="AD10" s="476">
        <f t="shared" si="2"/>
        <v>1025</v>
      </c>
      <c r="AE10" s="476">
        <v>927</v>
      </c>
      <c r="AF10" s="476">
        <v>98</v>
      </c>
      <c r="AG10" s="477">
        <v>1025</v>
      </c>
    </row>
    <row r="11" spans="1:33" ht="20.25" customHeight="1" x14ac:dyDescent="0.2">
      <c r="A11" s="204" t="s">
        <v>1703</v>
      </c>
      <c r="B11" s="205" t="s">
        <v>396</v>
      </c>
      <c r="C11" s="104" t="s">
        <v>1704</v>
      </c>
      <c r="D11" s="476"/>
      <c r="E11" s="476"/>
      <c r="F11" s="476">
        <f t="shared" si="3"/>
        <v>0</v>
      </c>
      <c r="G11" s="476"/>
      <c r="H11" s="476"/>
      <c r="I11" s="476">
        <f t="shared" si="4"/>
        <v>0</v>
      </c>
      <c r="J11" s="476">
        <v>504</v>
      </c>
      <c r="K11" s="476">
        <v>136</v>
      </c>
      <c r="L11" s="476">
        <f t="shared" si="5"/>
        <v>640</v>
      </c>
      <c r="M11" s="476"/>
      <c r="N11" s="476"/>
      <c r="O11" s="476">
        <f t="shared" si="6"/>
        <v>0</v>
      </c>
      <c r="P11" s="476">
        <v>650</v>
      </c>
      <c r="Q11" s="476"/>
      <c r="R11" s="476">
        <f t="shared" si="7"/>
        <v>650</v>
      </c>
      <c r="S11" s="476"/>
      <c r="T11" s="476"/>
      <c r="U11" s="476">
        <f t="shared" si="8"/>
        <v>0</v>
      </c>
      <c r="V11" s="476">
        <f t="shared" si="0"/>
        <v>0</v>
      </c>
      <c r="W11" s="476">
        <f t="shared" si="0"/>
        <v>0</v>
      </c>
      <c r="X11" s="476">
        <f t="shared" si="9"/>
        <v>0</v>
      </c>
      <c r="Y11" s="476">
        <f t="shared" si="1"/>
        <v>650</v>
      </c>
      <c r="Z11" s="476">
        <f t="shared" si="1"/>
        <v>0</v>
      </c>
      <c r="AA11" s="476">
        <f t="shared" si="10"/>
        <v>650</v>
      </c>
      <c r="AB11" s="476">
        <f t="shared" si="2"/>
        <v>504</v>
      </c>
      <c r="AC11" s="476">
        <f t="shared" si="2"/>
        <v>136</v>
      </c>
      <c r="AD11" s="476">
        <f t="shared" si="2"/>
        <v>640</v>
      </c>
      <c r="AE11" s="476">
        <v>504</v>
      </c>
      <c r="AF11" s="476">
        <v>136</v>
      </c>
      <c r="AG11" s="477">
        <v>640</v>
      </c>
    </row>
    <row r="12" spans="1:33" ht="22.5" x14ac:dyDescent="0.2">
      <c r="A12" s="204" t="s">
        <v>1705</v>
      </c>
      <c r="B12" s="205" t="s">
        <v>396</v>
      </c>
      <c r="C12" s="206" t="s">
        <v>1706</v>
      </c>
      <c r="D12" s="476"/>
      <c r="E12" s="476"/>
      <c r="F12" s="476">
        <f>+D12+E12</f>
        <v>0</v>
      </c>
      <c r="G12" s="476"/>
      <c r="H12" s="476"/>
      <c r="I12" s="476">
        <f>+G12+H12</f>
        <v>0</v>
      </c>
      <c r="J12" s="476"/>
      <c r="K12" s="476"/>
      <c r="L12" s="476">
        <f>+J12+K12</f>
        <v>0</v>
      </c>
      <c r="M12" s="476"/>
      <c r="N12" s="476"/>
      <c r="O12" s="476">
        <f>+M12+N12</f>
        <v>0</v>
      </c>
      <c r="P12" s="476">
        <v>0</v>
      </c>
      <c r="Q12" s="476"/>
      <c r="R12" s="476">
        <f>+P12+Q12</f>
        <v>0</v>
      </c>
      <c r="S12" s="476">
        <v>4834</v>
      </c>
      <c r="T12" s="476">
        <v>1305</v>
      </c>
      <c r="U12" s="476">
        <f>+S12+T12</f>
        <v>6139</v>
      </c>
      <c r="V12" s="476">
        <f t="shared" si="0"/>
        <v>0</v>
      </c>
      <c r="W12" s="476">
        <f t="shared" si="0"/>
        <v>0</v>
      </c>
      <c r="X12" s="476">
        <f>+V12+W12</f>
        <v>0</v>
      </c>
      <c r="Y12" s="476">
        <f t="shared" si="1"/>
        <v>0</v>
      </c>
      <c r="Z12" s="476">
        <f t="shared" si="1"/>
        <v>0</v>
      </c>
      <c r="AA12" s="476">
        <f>+Y12+Z12</f>
        <v>0</v>
      </c>
      <c r="AB12" s="476">
        <f t="shared" si="2"/>
        <v>4834</v>
      </c>
      <c r="AC12" s="476">
        <f t="shared" si="2"/>
        <v>1305</v>
      </c>
      <c r="AD12" s="476">
        <f t="shared" si="2"/>
        <v>6139</v>
      </c>
      <c r="AE12" s="476">
        <v>4834</v>
      </c>
      <c r="AF12" s="476">
        <v>1305</v>
      </c>
      <c r="AG12" s="477">
        <v>6139</v>
      </c>
    </row>
    <row r="13" spans="1:33" ht="20.25" customHeight="1" thickBot="1" x14ac:dyDescent="0.25">
      <c r="A13" s="204" t="s">
        <v>1707</v>
      </c>
      <c r="B13" s="205" t="s">
        <v>396</v>
      </c>
      <c r="C13" s="104" t="s">
        <v>1708</v>
      </c>
      <c r="D13" s="476"/>
      <c r="E13" s="476"/>
      <c r="F13" s="476">
        <f t="shared" si="3"/>
        <v>0</v>
      </c>
      <c r="G13" s="476"/>
      <c r="H13" s="476"/>
      <c r="I13" s="476">
        <f t="shared" si="4"/>
        <v>0</v>
      </c>
      <c r="J13" s="476"/>
      <c r="K13" s="476"/>
      <c r="L13" s="476">
        <f t="shared" si="5"/>
        <v>0</v>
      </c>
      <c r="M13" s="476"/>
      <c r="N13" s="476"/>
      <c r="O13" s="476">
        <f t="shared" si="6"/>
        <v>0</v>
      </c>
      <c r="P13" s="476">
        <v>250</v>
      </c>
      <c r="Q13" s="476"/>
      <c r="R13" s="476">
        <f t="shared" si="7"/>
        <v>250</v>
      </c>
      <c r="S13" s="476">
        <v>0</v>
      </c>
      <c r="T13" s="476"/>
      <c r="U13" s="476">
        <f t="shared" si="8"/>
        <v>0</v>
      </c>
      <c r="V13" s="476">
        <f t="shared" si="0"/>
        <v>0</v>
      </c>
      <c r="W13" s="476">
        <f t="shared" si="0"/>
        <v>0</v>
      </c>
      <c r="X13" s="476">
        <f t="shared" si="9"/>
        <v>0</v>
      </c>
      <c r="Y13" s="476">
        <f t="shared" si="1"/>
        <v>250</v>
      </c>
      <c r="Z13" s="476">
        <f t="shared" si="1"/>
        <v>0</v>
      </c>
      <c r="AA13" s="476">
        <f t="shared" si="10"/>
        <v>250</v>
      </c>
      <c r="AB13" s="476">
        <f t="shared" si="2"/>
        <v>0</v>
      </c>
      <c r="AC13" s="476">
        <f t="shared" si="2"/>
        <v>0</v>
      </c>
      <c r="AD13" s="476">
        <f t="shared" si="2"/>
        <v>0</v>
      </c>
      <c r="AE13" s="476">
        <v>0</v>
      </c>
      <c r="AF13" s="476">
        <v>0</v>
      </c>
      <c r="AG13" s="477">
        <v>0</v>
      </c>
    </row>
    <row r="14" spans="1:33" ht="23.25" thickBot="1" x14ac:dyDescent="0.25">
      <c r="A14" s="207" t="s">
        <v>1709</v>
      </c>
      <c r="B14" s="208" t="s">
        <v>324</v>
      </c>
      <c r="C14" s="209" t="s">
        <v>1710</v>
      </c>
      <c r="D14" s="478"/>
      <c r="E14" s="478"/>
      <c r="F14" s="478">
        <f>+D14+E14</f>
        <v>0</v>
      </c>
      <c r="G14" s="478"/>
      <c r="H14" s="478"/>
      <c r="I14" s="478">
        <f>+G14+H14</f>
        <v>0</v>
      </c>
      <c r="J14" s="478">
        <f t="shared" ref="J14:K18" si="11">+D14+G14</f>
        <v>0</v>
      </c>
      <c r="K14" s="478">
        <f t="shared" si="11"/>
        <v>0</v>
      </c>
      <c r="L14" s="478">
        <f>+J14+K14</f>
        <v>0</v>
      </c>
      <c r="M14" s="478"/>
      <c r="N14" s="478"/>
      <c r="O14" s="478">
        <f>+M14+N14</f>
        <v>0</v>
      </c>
      <c r="P14" s="478"/>
      <c r="Q14" s="478"/>
      <c r="R14" s="478">
        <f>+P14+Q14</f>
        <v>0</v>
      </c>
      <c r="S14" s="478">
        <v>684</v>
      </c>
      <c r="T14" s="478">
        <v>185</v>
      </c>
      <c r="U14" s="478">
        <f>+S14+T14</f>
        <v>869</v>
      </c>
      <c r="V14" s="478">
        <f t="shared" si="0"/>
        <v>0</v>
      </c>
      <c r="W14" s="478">
        <f t="shared" si="0"/>
        <v>0</v>
      </c>
      <c r="X14" s="478">
        <f>+V14+W14</f>
        <v>0</v>
      </c>
      <c r="Y14" s="478">
        <f t="shared" si="1"/>
        <v>0</v>
      </c>
      <c r="Z14" s="478">
        <f t="shared" si="1"/>
        <v>0</v>
      </c>
      <c r="AA14" s="478">
        <f>+Y14+Z14</f>
        <v>0</v>
      </c>
      <c r="AB14" s="478">
        <f t="shared" si="2"/>
        <v>684</v>
      </c>
      <c r="AC14" s="478">
        <f t="shared" si="2"/>
        <v>185</v>
      </c>
      <c r="AD14" s="478">
        <f t="shared" si="2"/>
        <v>869</v>
      </c>
      <c r="AE14" s="478">
        <v>684</v>
      </c>
      <c r="AF14" s="478">
        <v>185</v>
      </c>
      <c r="AG14" s="479">
        <v>869</v>
      </c>
    </row>
    <row r="15" spans="1:33" ht="22.5" x14ac:dyDescent="0.2">
      <c r="A15" s="201" t="s">
        <v>1711</v>
      </c>
      <c r="B15" s="202" t="s">
        <v>1712</v>
      </c>
      <c r="C15" s="210" t="s">
        <v>1713</v>
      </c>
      <c r="D15" s="474"/>
      <c r="E15" s="474"/>
      <c r="F15" s="474">
        <f>+D15+E15</f>
        <v>0</v>
      </c>
      <c r="G15" s="474"/>
      <c r="H15" s="474"/>
      <c r="I15" s="474">
        <f>+G15+H15</f>
        <v>0</v>
      </c>
      <c r="J15" s="474">
        <f t="shared" si="11"/>
        <v>0</v>
      </c>
      <c r="K15" s="474">
        <f t="shared" si="11"/>
        <v>0</v>
      </c>
      <c r="L15" s="474">
        <f>+J15+K15</f>
        <v>0</v>
      </c>
      <c r="M15" s="474">
        <v>635</v>
      </c>
      <c r="N15" s="474"/>
      <c r="O15" s="474">
        <f>+M15+N15</f>
        <v>635</v>
      </c>
      <c r="P15" s="474">
        <v>635</v>
      </c>
      <c r="Q15" s="474"/>
      <c r="R15" s="474">
        <f>+P15+Q15</f>
        <v>635</v>
      </c>
      <c r="S15" s="474">
        <v>0</v>
      </c>
      <c r="T15" s="474">
        <v>0</v>
      </c>
      <c r="U15" s="474">
        <f>+S15+T15</f>
        <v>0</v>
      </c>
      <c r="V15" s="474">
        <f t="shared" si="0"/>
        <v>635</v>
      </c>
      <c r="W15" s="474">
        <f t="shared" si="0"/>
        <v>0</v>
      </c>
      <c r="X15" s="474">
        <f>+V15+W15</f>
        <v>635</v>
      </c>
      <c r="Y15" s="474">
        <f t="shared" si="1"/>
        <v>635</v>
      </c>
      <c r="Z15" s="474">
        <f t="shared" si="1"/>
        <v>0</v>
      </c>
      <c r="AA15" s="474">
        <f>+Y15+Z15</f>
        <v>635</v>
      </c>
      <c r="AB15" s="474">
        <f t="shared" si="2"/>
        <v>0</v>
      </c>
      <c r="AC15" s="474">
        <f t="shared" si="2"/>
        <v>0</v>
      </c>
      <c r="AD15" s="474">
        <f t="shared" si="2"/>
        <v>0</v>
      </c>
      <c r="AE15" s="474">
        <v>0</v>
      </c>
      <c r="AF15" s="474">
        <v>0</v>
      </c>
      <c r="AG15" s="475">
        <v>0</v>
      </c>
    </row>
    <row r="16" spans="1:33" ht="24" customHeight="1" thickBot="1" x14ac:dyDescent="0.25">
      <c r="A16" s="211" t="s">
        <v>1711</v>
      </c>
      <c r="B16" s="212" t="s">
        <v>1712</v>
      </c>
      <c r="C16" s="213" t="s">
        <v>1714</v>
      </c>
      <c r="D16" s="480"/>
      <c r="E16" s="480"/>
      <c r="F16" s="480">
        <f>+D16+E16</f>
        <v>0</v>
      </c>
      <c r="G16" s="480"/>
      <c r="H16" s="480"/>
      <c r="I16" s="480">
        <f>+G16+H16</f>
        <v>0</v>
      </c>
      <c r="J16" s="480">
        <f t="shared" si="11"/>
        <v>0</v>
      </c>
      <c r="K16" s="480">
        <f t="shared" si="11"/>
        <v>0</v>
      </c>
      <c r="L16" s="480">
        <f>+J16+K16</f>
        <v>0</v>
      </c>
      <c r="M16" s="480">
        <v>508</v>
      </c>
      <c r="N16" s="480"/>
      <c r="O16" s="480">
        <f>+M16+N16</f>
        <v>508</v>
      </c>
      <c r="P16" s="480"/>
      <c r="Q16" s="480"/>
      <c r="R16" s="480">
        <f>+P16+Q16</f>
        <v>0</v>
      </c>
      <c r="S16" s="480">
        <v>0</v>
      </c>
      <c r="T16" s="480">
        <v>0</v>
      </c>
      <c r="U16" s="480">
        <f>+S16+T16</f>
        <v>0</v>
      </c>
      <c r="V16" s="481">
        <f t="shared" si="0"/>
        <v>508</v>
      </c>
      <c r="W16" s="481">
        <f t="shared" si="0"/>
        <v>0</v>
      </c>
      <c r="X16" s="480">
        <f>+V16+W16</f>
        <v>508</v>
      </c>
      <c r="Y16" s="481">
        <f t="shared" si="1"/>
        <v>0</v>
      </c>
      <c r="Z16" s="481">
        <f t="shared" si="1"/>
        <v>0</v>
      </c>
      <c r="AA16" s="480">
        <f>+Y16+Z16</f>
        <v>0</v>
      </c>
      <c r="AB16" s="481">
        <f t="shared" si="2"/>
        <v>0</v>
      </c>
      <c r="AC16" s="481">
        <f t="shared" si="2"/>
        <v>0</v>
      </c>
      <c r="AD16" s="480">
        <f t="shared" si="2"/>
        <v>0</v>
      </c>
      <c r="AE16" s="481">
        <v>0</v>
      </c>
      <c r="AF16" s="481">
        <v>0</v>
      </c>
      <c r="AG16" s="482">
        <v>0</v>
      </c>
    </row>
    <row r="17" spans="1:33" ht="34.5" thickBot="1" x14ac:dyDescent="0.25">
      <c r="A17" s="207" t="s">
        <v>1715</v>
      </c>
      <c r="B17" s="208" t="s">
        <v>1716</v>
      </c>
      <c r="C17" s="209" t="s">
        <v>1717</v>
      </c>
      <c r="D17" s="478"/>
      <c r="E17" s="478"/>
      <c r="F17" s="478">
        <f>+E17+D17</f>
        <v>0</v>
      </c>
      <c r="G17" s="478"/>
      <c r="H17" s="478"/>
      <c r="I17" s="478">
        <f>+H17+G17</f>
        <v>0</v>
      </c>
      <c r="J17" s="478">
        <f t="shared" si="11"/>
        <v>0</v>
      </c>
      <c r="K17" s="478">
        <f t="shared" si="11"/>
        <v>0</v>
      </c>
      <c r="L17" s="478">
        <f>+K17+J17</f>
        <v>0</v>
      </c>
      <c r="M17" s="478">
        <v>0</v>
      </c>
      <c r="N17" s="478"/>
      <c r="O17" s="478">
        <f>+N17+M17</f>
        <v>0</v>
      </c>
      <c r="P17" s="478">
        <v>195</v>
      </c>
      <c r="Q17" s="478"/>
      <c r="R17" s="478">
        <f>+Q17+P17</f>
        <v>195</v>
      </c>
      <c r="S17" s="478">
        <v>658</v>
      </c>
      <c r="T17" s="478">
        <v>0</v>
      </c>
      <c r="U17" s="478">
        <f>+T17+S17</f>
        <v>658</v>
      </c>
      <c r="V17" s="478">
        <f t="shared" si="0"/>
        <v>0</v>
      </c>
      <c r="W17" s="478">
        <f t="shared" si="0"/>
        <v>0</v>
      </c>
      <c r="X17" s="478">
        <f>+W17+V17</f>
        <v>0</v>
      </c>
      <c r="Y17" s="478">
        <f t="shared" si="1"/>
        <v>195</v>
      </c>
      <c r="Z17" s="478">
        <f t="shared" si="1"/>
        <v>0</v>
      </c>
      <c r="AA17" s="478">
        <f>+Z17+Y17</f>
        <v>195</v>
      </c>
      <c r="AB17" s="478">
        <f t="shared" si="2"/>
        <v>658</v>
      </c>
      <c r="AC17" s="478">
        <f t="shared" si="2"/>
        <v>0</v>
      </c>
      <c r="AD17" s="478">
        <f t="shared" si="2"/>
        <v>658</v>
      </c>
      <c r="AE17" s="478">
        <v>0</v>
      </c>
      <c r="AF17" s="478">
        <v>0</v>
      </c>
      <c r="AG17" s="479">
        <v>0</v>
      </c>
    </row>
    <row r="18" spans="1:33" s="411" customFormat="1" ht="23.25" thickBot="1" x14ac:dyDescent="0.25">
      <c r="A18" s="214"/>
      <c r="B18" s="215" t="s">
        <v>328</v>
      </c>
      <c r="C18" s="216" t="s">
        <v>1718</v>
      </c>
      <c r="D18" s="483">
        <v>0</v>
      </c>
      <c r="E18" s="483"/>
      <c r="F18" s="483">
        <v>5623</v>
      </c>
      <c r="G18" s="483">
        <v>0</v>
      </c>
      <c r="H18" s="483"/>
      <c r="I18" s="483">
        <v>0</v>
      </c>
      <c r="J18" s="483">
        <f t="shared" si="11"/>
        <v>0</v>
      </c>
      <c r="K18" s="483">
        <f t="shared" si="11"/>
        <v>0</v>
      </c>
      <c r="L18" s="483">
        <v>8478</v>
      </c>
      <c r="M18" s="483">
        <v>5080</v>
      </c>
      <c r="N18" s="483"/>
      <c r="O18" s="483">
        <v>0</v>
      </c>
      <c r="P18" s="483">
        <v>4413</v>
      </c>
      <c r="Q18" s="483"/>
      <c r="R18" s="483">
        <f>+Q18+P18</f>
        <v>4413</v>
      </c>
      <c r="S18" s="483">
        <v>0</v>
      </c>
      <c r="T18" s="483"/>
      <c r="U18" s="483">
        <f>+T18+S18</f>
        <v>0</v>
      </c>
      <c r="V18" s="483">
        <f t="shared" si="0"/>
        <v>5080</v>
      </c>
      <c r="W18" s="483">
        <f t="shared" si="0"/>
        <v>0</v>
      </c>
      <c r="X18" s="483">
        <f>+W18+V18</f>
        <v>5080</v>
      </c>
      <c r="Y18" s="483">
        <f t="shared" si="1"/>
        <v>4413</v>
      </c>
      <c r="Z18" s="483">
        <f t="shared" si="1"/>
        <v>0</v>
      </c>
      <c r="AA18" s="483">
        <f>+Z18+Y18</f>
        <v>4413</v>
      </c>
      <c r="AB18" s="483">
        <f t="shared" si="2"/>
        <v>0</v>
      </c>
      <c r="AC18" s="483">
        <f t="shared" si="2"/>
        <v>0</v>
      </c>
      <c r="AD18" s="483">
        <f t="shared" si="2"/>
        <v>8478</v>
      </c>
      <c r="AE18" s="483">
        <v>0</v>
      </c>
      <c r="AF18" s="483">
        <v>0</v>
      </c>
      <c r="AG18" s="484">
        <v>8477</v>
      </c>
    </row>
    <row r="19" spans="1:33" s="411" customFormat="1" ht="29.25" customHeight="1" thickTop="1" thickBot="1" x14ac:dyDescent="0.25">
      <c r="A19" s="830" t="s">
        <v>1719</v>
      </c>
      <c r="B19" s="763"/>
      <c r="C19" s="831"/>
      <c r="D19" s="485">
        <f t="shared" ref="D19:AD19" si="12">SUM(D6:D18)</f>
        <v>4636</v>
      </c>
      <c r="E19" s="485">
        <f t="shared" si="12"/>
        <v>0</v>
      </c>
      <c r="F19" s="485">
        <f t="shared" si="12"/>
        <v>10259</v>
      </c>
      <c r="G19" s="485">
        <f t="shared" si="12"/>
        <v>5429</v>
      </c>
      <c r="H19" s="485">
        <f t="shared" si="12"/>
        <v>0</v>
      </c>
      <c r="I19" s="485">
        <f t="shared" si="12"/>
        <v>5429</v>
      </c>
      <c r="J19" s="485">
        <f t="shared" si="12"/>
        <v>1431</v>
      </c>
      <c r="K19" s="485">
        <f t="shared" si="12"/>
        <v>234</v>
      </c>
      <c r="L19" s="485">
        <f t="shared" si="12"/>
        <v>10143</v>
      </c>
      <c r="M19" s="485">
        <f t="shared" si="12"/>
        <v>6223</v>
      </c>
      <c r="N19" s="485">
        <f t="shared" si="12"/>
        <v>0</v>
      </c>
      <c r="O19" s="485">
        <f t="shared" si="12"/>
        <v>1143</v>
      </c>
      <c r="P19" s="485">
        <f t="shared" si="12"/>
        <v>11743</v>
      </c>
      <c r="Q19" s="485">
        <f t="shared" si="12"/>
        <v>0</v>
      </c>
      <c r="R19" s="485">
        <f t="shared" si="12"/>
        <v>11743</v>
      </c>
      <c r="S19" s="485">
        <f t="shared" si="12"/>
        <v>7430</v>
      </c>
      <c r="T19" s="485">
        <f t="shared" si="12"/>
        <v>1754</v>
      </c>
      <c r="U19" s="485">
        <f t="shared" si="12"/>
        <v>9184</v>
      </c>
      <c r="V19" s="485">
        <f t="shared" si="12"/>
        <v>10859</v>
      </c>
      <c r="W19" s="485">
        <f t="shared" si="12"/>
        <v>0</v>
      </c>
      <c r="X19" s="485">
        <f t="shared" si="12"/>
        <v>10859</v>
      </c>
      <c r="Y19" s="485">
        <f t="shared" si="12"/>
        <v>17172</v>
      </c>
      <c r="Z19" s="485">
        <f t="shared" si="12"/>
        <v>0</v>
      </c>
      <c r="AA19" s="485">
        <f t="shared" si="12"/>
        <v>17172</v>
      </c>
      <c r="AB19" s="485">
        <f t="shared" si="12"/>
        <v>8861</v>
      </c>
      <c r="AC19" s="485">
        <f t="shared" si="12"/>
        <v>1988</v>
      </c>
      <c r="AD19" s="485">
        <f t="shared" si="12"/>
        <v>19327</v>
      </c>
      <c r="AE19" s="485">
        <v>8203</v>
      </c>
      <c r="AF19" s="485">
        <v>1988</v>
      </c>
      <c r="AG19" s="486">
        <v>10191</v>
      </c>
    </row>
    <row r="20" spans="1:33" s="411" customFormat="1" x14ac:dyDescent="0.2">
      <c r="A20" s="469"/>
      <c r="B20" s="487"/>
      <c r="C20" s="471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3"/>
      <c r="T20" s="413"/>
      <c r="U20" s="413"/>
      <c r="V20" s="413"/>
      <c r="W20" s="413"/>
      <c r="X20" s="413"/>
      <c r="Y20" s="413"/>
      <c r="Z20" s="413"/>
      <c r="AA20" s="413"/>
      <c r="AB20" s="413"/>
      <c r="AC20" s="413"/>
      <c r="AD20" s="413"/>
      <c r="AE20" s="413"/>
      <c r="AF20" s="413"/>
      <c r="AG20" s="413"/>
    </row>
    <row r="21" spans="1:33" s="411" customFormat="1" x14ac:dyDescent="0.2">
      <c r="A21" s="469"/>
      <c r="B21" s="487"/>
      <c r="C21" s="471"/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3"/>
      <c r="O21" s="413"/>
      <c r="P21" s="413"/>
      <c r="Q21" s="413"/>
      <c r="R21" s="413"/>
      <c r="S21" s="413"/>
      <c r="T21" s="413"/>
      <c r="U21" s="413"/>
      <c r="V21" s="413"/>
      <c r="W21" s="413"/>
      <c r="X21" s="413"/>
      <c r="Y21" s="413"/>
      <c r="Z21" s="413"/>
      <c r="AA21" s="413"/>
      <c r="AB21" s="413"/>
      <c r="AC21" s="413"/>
      <c r="AD21" s="413"/>
      <c r="AE21" s="413"/>
      <c r="AF21" s="413"/>
      <c r="AG21" s="413"/>
    </row>
    <row r="22" spans="1:33" s="411" customFormat="1" x14ac:dyDescent="0.2">
      <c r="A22" s="469"/>
      <c r="B22" s="487"/>
      <c r="C22" s="471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3"/>
      <c r="O22" s="413"/>
      <c r="P22" s="413"/>
      <c r="Q22" s="413"/>
      <c r="R22" s="413"/>
      <c r="S22" s="413"/>
      <c r="T22" s="413"/>
      <c r="U22" s="413"/>
      <c r="V22" s="413"/>
      <c r="W22" s="413"/>
      <c r="X22" s="413"/>
      <c r="Y22" s="413"/>
      <c r="Z22" s="413"/>
      <c r="AA22" s="413"/>
      <c r="AB22" s="413"/>
      <c r="AC22" s="413"/>
      <c r="AD22" s="413"/>
      <c r="AE22" s="413"/>
      <c r="AF22" s="413"/>
      <c r="AG22" s="413"/>
    </row>
    <row r="23" spans="1:33" s="411" customFormat="1" x14ac:dyDescent="0.2">
      <c r="A23" s="469"/>
      <c r="B23" s="487"/>
      <c r="C23" s="471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  <c r="O23" s="413"/>
      <c r="P23" s="413"/>
      <c r="Q23" s="413"/>
      <c r="R23" s="413"/>
      <c r="S23" s="413"/>
      <c r="T23" s="413"/>
      <c r="U23" s="413"/>
      <c r="V23" s="413"/>
      <c r="W23" s="413"/>
      <c r="X23" s="413"/>
      <c r="Y23" s="413"/>
      <c r="Z23" s="413"/>
      <c r="AA23" s="472" t="s">
        <v>1725</v>
      </c>
      <c r="AB23" s="413"/>
      <c r="AC23" s="413"/>
      <c r="AD23" s="547" t="s">
        <v>1832</v>
      </c>
      <c r="AE23" s="413"/>
      <c r="AF23" s="413"/>
      <c r="AG23" s="413"/>
    </row>
    <row r="24" spans="1:33" s="411" customFormat="1" x14ac:dyDescent="0.2">
      <c r="A24" s="469"/>
      <c r="B24" s="487"/>
      <c r="C24" s="471"/>
      <c r="D24" s="413"/>
      <c r="E24" s="413"/>
      <c r="F24" s="413"/>
      <c r="G24" s="413"/>
      <c r="H24" s="413"/>
      <c r="I24" s="413"/>
      <c r="J24" s="413"/>
      <c r="K24" s="413"/>
      <c r="L24" s="413"/>
      <c r="M24" s="413"/>
      <c r="N24" s="413"/>
      <c r="O24" s="413"/>
      <c r="P24" s="413"/>
      <c r="Q24" s="413"/>
      <c r="R24" s="413"/>
      <c r="S24" s="413"/>
      <c r="T24" s="413"/>
      <c r="U24" s="413"/>
      <c r="V24" s="413"/>
      <c r="W24" s="413"/>
      <c r="X24" s="413"/>
      <c r="Y24" s="413"/>
      <c r="Z24" s="413"/>
      <c r="AA24" s="472" t="s">
        <v>1724</v>
      </c>
      <c r="AB24" s="413"/>
      <c r="AC24" s="413"/>
      <c r="AD24" s="547" t="s">
        <v>1724</v>
      </c>
      <c r="AE24" s="413"/>
      <c r="AF24" s="413"/>
      <c r="AG24" s="413"/>
    </row>
    <row r="25" spans="1:33" s="411" customFormat="1" ht="54" customHeight="1" x14ac:dyDescent="0.2">
      <c r="A25" s="764" t="s">
        <v>1720</v>
      </c>
      <c r="B25" s="765"/>
      <c r="C25" s="766"/>
      <c r="D25" s="418"/>
      <c r="E25" s="418"/>
      <c r="F25" s="414" t="s">
        <v>557</v>
      </c>
      <c r="G25" s="418"/>
      <c r="H25" s="418"/>
      <c r="I25" s="414" t="s">
        <v>1121</v>
      </c>
      <c r="J25" s="418"/>
      <c r="K25" s="418"/>
      <c r="L25" s="414" t="s">
        <v>1304</v>
      </c>
      <c r="M25" s="488"/>
      <c r="N25" s="488"/>
      <c r="O25" s="412" t="s">
        <v>557</v>
      </c>
      <c r="P25" s="418"/>
      <c r="Q25" s="418"/>
      <c r="R25" s="412" t="s">
        <v>1121</v>
      </c>
      <c r="S25" s="418"/>
      <c r="T25" s="418"/>
      <c r="U25" s="412" t="s">
        <v>1304</v>
      </c>
      <c r="V25" s="418"/>
      <c r="W25" s="418"/>
      <c r="X25" s="414" t="s">
        <v>1721</v>
      </c>
      <c r="Y25" s="414" t="s">
        <v>1721</v>
      </c>
      <c r="Z25" s="414" t="s">
        <v>1721</v>
      </c>
      <c r="AA25" s="414" t="s">
        <v>1311</v>
      </c>
      <c r="AB25" s="488"/>
      <c r="AC25" s="488"/>
      <c r="AD25" s="832" t="s">
        <v>1311</v>
      </c>
      <c r="AE25" s="832"/>
      <c r="AF25" s="832"/>
      <c r="AG25" s="489"/>
    </row>
    <row r="26" spans="1:33" s="411" customFormat="1" ht="33.75" customHeight="1" x14ac:dyDescent="0.2">
      <c r="A26" s="767"/>
      <c r="B26" s="768"/>
      <c r="C26" s="769"/>
      <c r="D26" s="418"/>
      <c r="E26" s="418"/>
      <c r="F26" s="524" t="s">
        <v>405</v>
      </c>
      <c r="G26" s="548"/>
      <c r="H26" s="548"/>
      <c r="I26" s="524" t="s">
        <v>405</v>
      </c>
      <c r="J26" s="548"/>
      <c r="K26" s="548"/>
      <c r="L26" s="524" t="s">
        <v>405</v>
      </c>
      <c r="M26" s="549"/>
      <c r="N26" s="549"/>
      <c r="O26" s="524" t="s">
        <v>429</v>
      </c>
      <c r="P26" s="548"/>
      <c r="Q26" s="548"/>
      <c r="R26" s="524" t="s">
        <v>429</v>
      </c>
      <c r="S26" s="548"/>
      <c r="T26" s="548"/>
      <c r="U26" s="524" t="s">
        <v>429</v>
      </c>
      <c r="V26" s="548"/>
      <c r="W26" s="548"/>
      <c r="X26" s="524" t="s">
        <v>1695</v>
      </c>
      <c r="Y26" s="524" t="s">
        <v>1695</v>
      </c>
      <c r="Z26" s="524" t="s">
        <v>1695</v>
      </c>
      <c r="AA26" s="524" t="s">
        <v>1695</v>
      </c>
      <c r="AB26" s="549"/>
      <c r="AC26" s="549"/>
      <c r="AD26" s="826" t="s">
        <v>1695</v>
      </c>
      <c r="AE26" s="826"/>
      <c r="AF26" s="826"/>
      <c r="AG26" s="489"/>
    </row>
    <row r="27" spans="1:33" s="411" customFormat="1" ht="33.75" customHeight="1" x14ac:dyDescent="0.2">
      <c r="A27" s="753" t="s">
        <v>1800</v>
      </c>
      <c r="B27" s="754"/>
      <c r="C27" s="755"/>
      <c r="D27" s="418"/>
      <c r="E27" s="418"/>
      <c r="F27" s="418">
        <f>SUM('13.1 melléklet önk'!BI43)</f>
        <v>102207</v>
      </c>
      <c r="G27" s="418"/>
      <c r="H27" s="418"/>
      <c r="I27" s="418">
        <f>SUM('13.1 melléklet önk'!BO43)</f>
        <v>103856</v>
      </c>
      <c r="J27" s="418"/>
      <c r="K27" s="418"/>
      <c r="L27" s="418">
        <f>SUM('13.1 melléklet önk'!BQ43)</f>
        <v>60312</v>
      </c>
      <c r="M27" s="488"/>
      <c r="N27" s="488"/>
      <c r="O27" s="418">
        <f>SUM('13.1 melléklet önk'!BR43)</f>
        <v>12616</v>
      </c>
      <c r="P27" s="418"/>
      <c r="Q27" s="418"/>
      <c r="R27" s="418">
        <f>SUM('13.1 melléklet önk'!BX43)</f>
        <v>29324</v>
      </c>
      <c r="S27" s="418"/>
      <c r="T27" s="418"/>
      <c r="U27" s="418">
        <f>SUM('13.1 melléklet önk'!BZ43)</f>
        <v>16749</v>
      </c>
      <c r="V27" s="418"/>
      <c r="W27" s="418"/>
      <c r="X27" s="418">
        <f>SUM('13.1 melléklet önk'!CA43)</f>
        <v>77061</v>
      </c>
      <c r="Y27" s="418">
        <f>SUM('13.1 melléklet önk'!CB43)</f>
        <v>47352894</v>
      </c>
      <c r="Z27" s="418">
        <f>SUM('13.1 melléklet önk'!CC43)</f>
        <v>54024</v>
      </c>
      <c r="AA27" s="418">
        <f>SUM('13.1 melléklet önk'!CD43)</f>
        <v>54024</v>
      </c>
      <c r="AB27" s="418">
        <f>SUM('13.1 melléklet önk'!CE43)</f>
        <v>0</v>
      </c>
      <c r="AC27" s="418">
        <f>SUM('13.1 melléklet önk'!CF43)</f>
        <v>0</v>
      </c>
      <c r="AD27" s="418">
        <f>SUM('13.1 melléklet önk'!CD43)</f>
        <v>54024</v>
      </c>
      <c r="AE27" s="416" t="s">
        <v>431</v>
      </c>
      <c r="AF27" s="416" t="s">
        <v>406</v>
      </c>
      <c r="AG27" s="419"/>
    </row>
    <row r="28" spans="1:33" s="411" customFormat="1" ht="33.75" customHeight="1" x14ac:dyDescent="0.2">
      <c r="A28" s="753" t="s">
        <v>322</v>
      </c>
      <c r="B28" s="754"/>
      <c r="C28" s="755"/>
      <c r="D28" s="418"/>
      <c r="E28" s="418"/>
      <c r="F28" s="418">
        <v>0</v>
      </c>
      <c r="G28" s="418"/>
      <c r="H28" s="418"/>
      <c r="I28" s="418">
        <v>0</v>
      </c>
      <c r="J28" s="418"/>
      <c r="K28" s="418"/>
      <c r="L28" s="418">
        <v>0</v>
      </c>
      <c r="M28" s="488"/>
      <c r="N28" s="488"/>
      <c r="O28" s="418">
        <v>0</v>
      </c>
      <c r="P28" s="418"/>
      <c r="Q28" s="418"/>
      <c r="R28" s="418">
        <v>0</v>
      </c>
      <c r="S28" s="418"/>
      <c r="T28" s="418"/>
      <c r="U28" s="418">
        <v>0</v>
      </c>
      <c r="V28" s="418"/>
      <c r="W28" s="418"/>
      <c r="X28" s="418">
        <v>0</v>
      </c>
      <c r="Y28" s="418">
        <v>1</v>
      </c>
      <c r="Z28" s="418">
        <v>2</v>
      </c>
      <c r="AA28" s="418">
        <v>3</v>
      </c>
      <c r="AB28" s="418">
        <v>4</v>
      </c>
      <c r="AC28" s="418">
        <v>5</v>
      </c>
      <c r="AD28" s="418">
        <v>0</v>
      </c>
      <c r="AE28" s="418"/>
      <c r="AF28" s="418"/>
      <c r="AG28" s="419"/>
    </row>
    <row r="29" spans="1:33" s="411" customFormat="1" ht="33.75" customHeight="1" x14ac:dyDescent="0.2">
      <c r="A29" s="753" t="s">
        <v>396</v>
      </c>
      <c r="B29" s="754"/>
      <c r="C29" s="755"/>
      <c r="D29" s="418"/>
      <c r="E29" s="418"/>
      <c r="F29" s="418">
        <f>SUM(F6:F13)</f>
        <v>4636</v>
      </c>
      <c r="G29" s="418"/>
      <c r="H29" s="418"/>
      <c r="I29" s="418">
        <f>SUM(I6:I13)</f>
        <v>5429</v>
      </c>
      <c r="J29" s="418"/>
      <c r="K29" s="418"/>
      <c r="L29" s="418">
        <f>SUM(L6:L13)</f>
        <v>1665</v>
      </c>
      <c r="M29" s="488"/>
      <c r="N29" s="488"/>
      <c r="O29" s="418">
        <f>SUM(O6:O13)</f>
        <v>0</v>
      </c>
      <c r="P29" s="418"/>
      <c r="Q29" s="418"/>
      <c r="R29" s="418">
        <f>SUM(R6:R13)</f>
        <v>6500</v>
      </c>
      <c r="S29" s="418"/>
      <c r="T29" s="418"/>
      <c r="U29" s="418">
        <f>SUM(U6:U13)</f>
        <v>7657</v>
      </c>
      <c r="V29" s="418"/>
      <c r="W29" s="418"/>
      <c r="X29" s="418">
        <f t="shared" ref="X29:AC29" si="13">SUM(AD6:AD13)</f>
        <v>9322</v>
      </c>
      <c r="Y29" s="418">
        <f t="shared" si="13"/>
        <v>7519</v>
      </c>
      <c r="Z29" s="418">
        <f t="shared" si="13"/>
        <v>1803</v>
      </c>
      <c r="AA29" s="418">
        <f t="shared" si="13"/>
        <v>9322</v>
      </c>
      <c r="AB29" s="418">
        <f t="shared" si="13"/>
        <v>0</v>
      </c>
      <c r="AC29" s="418">
        <f t="shared" si="13"/>
        <v>0</v>
      </c>
      <c r="AD29" s="418">
        <f>SUM(AG6:AG13)</f>
        <v>9322</v>
      </c>
      <c r="AE29" s="418"/>
      <c r="AF29" s="418"/>
      <c r="AG29" s="419"/>
    </row>
    <row r="30" spans="1:33" s="411" customFormat="1" ht="33.75" customHeight="1" x14ac:dyDescent="0.2">
      <c r="A30" s="753" t="s">
        <v>324</v>
      </c>
      <c r="B30" s="754"/>
      <c r="C30" s="755"/>
      <c r="D30" s="418"/>
      <c r="E30" s="418"/>
      <c r="F30" s="418">
        <f>SUM(F14)</f>
        <v>0</v>
      </c>
      <c r="G30" s="418"/>
      <c r="H30" s="418"/>
      <c r="I30" s="418">
        <f t="shared" ref="I30:L30" si="14">SUM(I14)</f>
        <v>0</v>
      </c>
      <c r="J30" s="418"/>
      <c r="K30" s="418"/>
      <c r="L30" s="418">
        <f t="shared" si="14"/>
        <v>0</v>
      </c>
      <c r="M30" s="488"/>
      <c r="N30" s="488"/>
      <c r="O30" s="418">
        <f>SUM(O14)</f>
        <v>0</v>
      </c>
      <c r="P30" s="418"/>
      <c r="Q30" s="418"/>
      <c r="R30" s="418">
        <f>SUM(R14)</f>
        <v>0</v>
      </c>
      <c r="S30" s="418"/>
      <c r="T30" s="418"/>
      <c r="U30" s="418">
        <f>SUM(U14)</f>
        <v>869</v>
      </c>
      <c r="V30" s="418"/>
      <c r="W30" s="418"/>
      <c r="X30" s="418">
        <f t="shared" ref="X30:AC30" si="15">SUM(AD14)</f>
        <v>869</v>
      </c>
      <c r="Y30" s="418">
        <f t="shared" si="15"/>
        <v>684</v>
      </c>
      <c r="Z30" s="418">
        <f t="shared" si="15"/>
        <v>185</v>
      </c>
      <c r="AA30" s="418">
        <f t="shared" si="15"/>
        <v>869</v>
      </c>
      <c r="AB30" s="418">
        <f t="shared" si="15"/>
        <v>0</v>
      </c>
      <c r="AC30" s="418">
        <f t="shared" si="15"/>
        <v>0</v>
      </c>
      <c r="AD30" s="418">
        <f>SUM(AG14)</f>
        <v>869</v>
      </c>
      <c r="AE30" s="418"/>
      <c r="AF30" s="418"/>
      <c r="AG30" s="419"/>
    </row>
    <row r="31" spans="1:33" s="411" customFormat="1" ht="33.75" customHeight="1" x14ac:dyDescent="0.2">
      <c r="A31" s="753" t="s">
        <v>1712</v>
      </c>
      <c r="B31" s="754"/>
      <c r="C31" s="755"/>
      <c r="D31" s="418"/>
      <c r="E31" s="418"/>
      <c r="F31" s="418">
        <f>SUM(F15:F16)</f>
        <v>0</v>
      </c>
      <c r="G31" s="418"/>
      <c r="H31" s="418"/>
      <c r="I31" s="418">
        <f t="shared" ref="I31:L31" si="16">SUM(I15:I16)</f>
        <v>0</v>
      </c>
      <c r="J31" s="418"/>
      <c r="K31" s="418"/>
      <c r="L31" s="418">
        <f t="shared" si="16"/>
        <v>0</v>
      </c>
      <c r="M31" s="488"/>
      <c r="N31" s="488"/>
      <c r="O31" s="418">
        <f>SUM(O15:O16)</f>
        <v>1143</v>
      </c>
      <c r="P31" s="418"/>
      <c r="Q31" s="418"/>
      <c r="R31" s="418">
        <f>SUM(R15:R16)</f>
        <v>635</v>
      </c>
      <c r="S31" s="418"/>
      <c r="T31" s="418"/>
      <c r="U31" s="418">
        <f>SUM(U15:U16)</f>
        <v>0</v>
      </c>
      <c r="V31" s="418"/>
      <c r="W31" s="418"/>
      <c r="X31" s="418">
        <f t="shared" ref="X31:AC31" si="17">SUM(AD15:AD16)</f>
        <v>0</v>
      </c>
      <c r="Y31" s="418">
        <f t="shared" si="17"/>
        <v>0</v>
      </c>
      <c r="Z31" s="418">
        <f t="shared" si="17"/>
        <v>0</v>
      </c>
      <c r="AA31" s="418">
        <f t="shared" si="17"/>
        <v>0</v>
      </c>
      <c r="AB31" s="418">
        <f t="shared" si="17"/>
        <v>0</v>
      </c>
      <c r="AC31" s="418">
        <f t="shared" si="17"/>
        <v>0</v>
      </c>
      <c r="AD31" s="418">
        <f>SUM(AG15:AG16)</f>
        <v>0</v>
      </c>
      <c r="AE31" s="418"/>
      <c r="AF31" s="418"/>
      <c r="AG31" s="419"/>
    </row>
    <row r="32" spans="1:33" s="411" customFormat="1" ht="33.75" customHeight="1" x14ac:dyDescent="0.2">
      <c r="A32" s="753" t="s">
        <v>1716</v>
      </c>
      <c r="B32" s="754"/>
      <c r="C32" s="755"/>
      <c r="D32" s="418"/>
      <c r="E32" s="418"/>
      <c r="F32" s="418">
        <f>SUM(F17)</f>
        <v>0</v>
      </c>
      <c r="G32" s="418"/>
      <c r="H32" s="418"/>
      <c r="I32" s="418">
        <f t="shared" ref="I32:L32" si="18">SUM(I17)</f>
        <v>0</v>
      </c>
      <c r="J32" s="418"/>
      <c r="K32" s="418"/>
      <c r="L32" s="418">
        <f t="shared" si="18"/>
        <v>0</v>
      </c>
      <c r="M32" s="488"/>
      <c r="N32" s="488"/>
      <c r="O32" s="418">
        <f>SUM(O17)</f>
        <v>0</v>
      </c>
      <c r="P32" s="418"/>
      <c r="Q32" s="418"/>
      <c r="R32" s="418">
        <f>SUM(R17)</f>
        <v>195</v>
      </c>
      <c r="S32" s="418"/>
      <c r="T32" s="418"/>
      <c r="U32" s="418">
        <f>SUM(U17)</f>
        <v>658</v>
      </c>
      <c r="V32" s="418"/>
      <c r="W32" s="418"/>
      <c r="X32" s="418">
        <f t="shared" ref="X32:AC32" si="19">SUM(AD17)</f>
        <v>658</v>
      </c>
      <c r="Y32" s="418">
        <f t="shared" si="19"/>
        <v>0</v>
      </c>
      <c r="Z32" s="418">
        <f t="shared" si="19"/>
        <v>0</v>
      </c>
      <c r="AA32" s="418">
        <f t="shared" si="19"/>
        <v>0</v>
      </c>
      <c r="AB32" s="418">
        <f t="shared" si="19"/>
        <v>0</v>
      </c>
      <c r="AC32" s="418">
        <f t="shared" si="19"/>
        <v>0</v>
      </c>
      <c r="AD32" s="418">
        <f>SUM(AG17)</f>
        <v>0</v>
      </c>
      <c r="AE32" s="418"/>
      <c r="AF32" s="418"/>
      <c r="AG32" s="419"/>
    </row>
    <row r="33" spans="1:33" s="411" customFormat="1" ht="33.75" customHeight="1" x14ac:dyDescent="0.2">
      <c r="A33" s="753" t="s">
        <v>1791</v>
      </c>
      <c r="B33" s="754"/>
      <c r="C33" s="755"/>
      <c r="D33" s="420"/>
      <c r="E33" s="420"/>
      <c r="F33" s="418">
        <v>0</v>
      </c>
      <c r="G33" s="418"/>
      <c r="H33" s="418"/>
      <c r="I33" s="418"/>
      <c r="J33" s="418"/>
      <c r="K33" s="418"/>
      <c r="L33" s="418">
        <v>0</v>
      </c>
      <c r="M33" s="488"/>
      <c r="N33" s="488"/>
      <c r="O33" s="418">
        <v>0</v>
      </c>
      <c r="P33" s="418"/>
      <c r="Q33" s="418"/>
      <c r="R33" s="418"/>
      <c r="S33" s="418"/>
      <c r="T33" s="418"/>
      <c r="U33" s="418">
        <v>0</v>
      </c>
      <c r="V33" s="418"/>
      <c r="W33" s="418"/>
      <c r="X33" s="418">
        <v>0</v>
      </c>
      <c r="Y33" s="418"/>
      <c r="Z33" s="418"/>
      <c r="AA33" s="418"/>
      <c r="AB33" s="418"/>
      <c r="AC33" s="418"/>
      <c r="AD33" s="418">
        <v>0</v>
      </c>
      <c r="AE33" s="418"/>
      <c r="AF33" s="418"/>
      <c r="AG33" s="419"/>
    </row>
    <row r="34" spans="1:33" s="411" customFormat="1" ht="33.75" customHeight="1" thickBot="1" x14ac:dyDescent="0.25">
      <c r="A34" s="756" t="s">
        <v>328</v>
      </c>
      <c r="B34" s="757"/>
      <c r="C34" s="758"/>
      <c r="D34" s="420"/>
      <c r="E34" s="420"/>
      <c r="F34" s="418">
        <f>SUM(F18:F18)</f>
        <v>5623</v>
      </c>
      <c r="G34" s="418"/>
      <c r="H34" s="418"/>
      <c r="I34" s="418">
        <f>SUM(I18:I18)</f>
        <v>0</v>
      </c>
      <c r="J34" s="418"/>
      <c r="K34" s="418"/>
      <c r="L34" s="418">
        <f>SUM(L18:L18)</f>
        <v>8478</v>
      </c>
      <c r="M34" s="488"/>
      <c r="N34" s="488"/>
      <c r="O34" s="418">
        <f>SUM(O18:O18)</f>
        <v>0</v>
      </c>
      <c r="P34" s="418"/>
      <c r="Q34" s="418"/>
      <c r="R34" s="418">
        <f>SUM(R18:R18)</f>
        <v>4413</v>
      </c>
      <c r="S34" s="418"/>
      <c r="T34" s="418"/>
      <c r="U34" s="418">
        <f>SUM(U18:U18)</f>
        <v>0</v>
      </c>
      <c r="V34" s="418"/>
      <c r="W34" s="418"/>
      <c r="X34" s="418">
        <f t="shared" ref="X34:AC34" si="20">SUM(AD18:AD18)</f>
        <v>8478</v>
      </c>
      <c r="Y34" s="418">
        <f t="shared" si="20"/>
        <v>0</v>
      </c>
      <c r="Z34" s="418">
        <f t="shared" si="20"/>
        <v>0</v>
      </c>
      <c r="AA34" s="418">
        <f t="shared" si="20"/>
        <v>8477</v>
      </c>
      <c r="AB34" s="418">
        <f t="shared" si="20"/>
        <v>0</v>
      </c>
      <c r="AC34" s="418">
        <f t="shared" si="20"/>
        <v>0</v>
      </c>
      <c r="AD34" s="418">
        <f>SUM(AG18:AG18)</f>
        <v>8477</v>
      </c>
      <c r="AE34" s="418"/>
      <c r="AF34" s="418"/>
      <c r="AG34" s="419"/>
    </row>
    <row r="35" spans="1:33" s="411" customFormat="1" ht="33.75" customHeight="1" thickBot="1" x14ac:dyDescent="0.25">
      <c r="A35" s="759" t="s">
        <v>1720</v>
      </c>
      <c r="B35" s="760"/>
      <c r="C35" s="761"/>
      <c r="D35" s="421"/>
      <c r="E35" s="421"/>
      <c r="F35" s="418">
        <f>SUM(F27:F34)</f>
        <v>112466</v>
      </c>
      <c r="G35" s="418"/>
      <c r="H35" s="418"/>
      <c r="I35" s="418">
        <f t="shared" ref="I35:L35" si="21">SUM(I27:I34)</f>
        <v>109285</v>
      </c>
      <c r="J35" s="418"/>
      <c r="K35" s="418"/>
      <c r="L35" s="418">
        <f t="shared" si="21"/>
        <v>70455</v>
      </c>
      <c r="M35" s="488"/>
      <c r="N35" s="488"/>
      <c r="O35" s="418">
        <f>SUM(O27:O34)</f>
        <v>13759</v>
      </c>
      <c r="P35" s="418"/>
      <c r="Q35" s="418"/>
      <c r="R35" s="418">
        <f>SUM(R27:R34)</f>
        <v>41067</v>
      </c>
      <c r="S35" s="418"/>
      <c r="T35" s="418"/>
      <c r="U35" s="418">
        <f>SUM(U27:U34)</f>
        <v>25933</v>
      </c>
      <c r="V35" s="418"/>
      <c r="W35" s="418"/>
      <c r="X35" s="418">
        <f>SUM(X27:X34)</f>
        <v>96388</v>
      </c>
      <c r="Y35" s="418">
        <f t="shared" ref="Y35:AD35" si="22">SUM(Y27:Y34)</f>
        <v>47361098</v>
      </c>
      <c r="Z35" s="418">
        <f t="shared" si="22"/>
        <v>56014</v>
      </c>
      <c r="AA35" s="418">
        <f t="shared" si="22"/>
        <v>72695</v>
      </c>
      <c r="AB35" s="418">
        <f t="shared" si="22"/>
        <v>4</v>
      </c>
      <c r="AC35" s="418">
        <f t="shared" si="22"/>
        <v>5</v>
      </c>
      <c r="AD35" s="418">
        <f t="shared" si="22"/>
        <v>72692</v>
      </c>
      <c r="AE35" s="418"/>
      <c r="AF35" s="418"/>
      <c r="AG35" s="419"/>
    </row>
    <row r="36" spans="1:33" x14ac:dyDescent="0.2">
      <c r="G36" s="413"/>
      <c r="H36" s="413"/>
      <c r="J36" s="413"/>
      <c r="K36" s="413"/>
      <c r="M36" s="413"/>
      <c r="N36" s="413"/>
      <c r="P36" s="413"/>
      <c r="Q36" s="413"/>
      <c r="S36" s="413"/>
      <c r="T36" s="413"/>
      <c r="U36" s="413"/>
      <c r="V36" s="413"/>
      <c r="W36" s="413"/>
      <c r="X36" s="419"/>
      <c r="Y36" s="471"/>
      <c r="Z36" s="471"/>
      <c r="AA36" s="471"/>
      <c r="AB36" s="471"/>
      <c r="AC36" s="471"/>
      <c r="AD36" s="471"/>
      <c r="AE36" s="471"/>
      <c r="AF36" s="471"/>
      <c r="AG36" s="471"/>
    </row>
    <row r="37" spans="1:33" x14ac:dyDescent="0.2">
      <c r="J37" s="413"/>
      <c r="K37" s="413"/>
      <c r="M37" s="413"/>
      <c r="N37" s="413"/>
      <c r="P37" s="413"/>
      <c r="Q37" s="413"/>
      <c r="S37" s="413"/>
      <c r="T37" s="413"/>
      <c r="V37" s="413"/>
      <c r="W37" s="413"/>
    </row>
    <row r="38" spans="1:33" x14ac:dyDescent="0.2">
      <c r="J38" s="413"/>
      <c r="K38" s="413"/>
      <c r="P38" s="413"/>
      <c r="Q38" s="413"/>
      <c r="S38" s="413"/>
      <c r="T38" s="413"/>
      <c r="V38" s="413"/>
      <c r="W38" s="413"/>
    </row>
    <row r="39" spans="1:33" x14ac:dyDescent="0.2">
      <c r="J39" s="413"/>
      <c r="K39" s="413"/>
      <c r="P39" s="413"/>
      <c r="Q39" s="413"/>
    </row>
  </sheetData>
  <mergeCells count="36">
    <mergeCell ref="A34:C34"/>
    <mergeCell ref="A35:C35"/>
    <mergeCell ref="A28:C28"/>
    <mergeCell ref="A29:C29"/>
    <mergeCell ref="A30:C30"/>
    <mergeCell ref="A31:C31"/>
    <mergeCell ref="A32:C32"/>
    <mergeCell ref="A33:C33"/>
    <mergeCell ref="AE4:AG4"/>
    <mergeCell ref="A19:C19"/>
    <mergeCell ref="A25:C26"/>
    <mergeCell ref="AD25:AF25"/>
    <mergeCell ref="AD26:AF26"/>
    <mergeCell ref="A27:C27"/>
    <mergeCell ref="AE3:AG3"/>
    <mergeCell ref="D4:F4"/>
    <mergeCell ref="G4:I4"/>
    <mergeCell ref="J4:L4"/>
    <mergeCell ref="M4:O4"/>
    <mergeCell ref="P4:R4"/>
    <mergeCell ref="S4:U4"/>
    <mergeCell ref="V4:X4"/>
    <mergeCell ref="Y4:AA4"/>
    <mergeCell ref="AB4:AD4"/>
    <mergeCell ref="M3:O3"/>
    <mergeCell ref="P3:R3"/>
    <mergeCell ref="S3:U3"/>
    <mergeCell ref="V3:X3"/>
    <mergeCell ref="Y3:AA3"/>
    <mergeCell ref="AB3:AD3"/>
    <mergeCell ref="A3:A5"/>
    <mergeCell ref="B3:B5"/>
    <mergeCell ref="C3:C5"/>
    <mergeCell ref="D3:F3"/>
    <mergeCell ref="G3:I3"/>
    <mergeCell ref="J3:L3"/>
  </mergeCells>
  <printOptions horizontalCentered="1"/>
  <pageMargins left="0" right="0" top="0.74803149606299213" bottom="0" header="0.31496062992125984" footer="0"/>
  <pageSetup paperSize="9" scale="70" orientation="portrait" r:id="rId1"/>
  <headerFooter>
    <oddHeader>&amp;LVeresegyház Város Önkormányzat&amp;CFELÚJÍTÁSOK 2014.12.31. BESZÁMOLÓ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C33" sqref="C33"/>
    </sheetView>
  </sheetViews>
  <sheetFormatPr defaultRowHeight="12.75" x14ac:dyDescent="0.2"/>
  <cols>
    <col min="1" max="1" width="33.42578125" style="105" customWidth="1"/>
    <col min="2" max="3" width="9.5703125" style="105" bestFit="1" customWidth="1"/>
    <col min="4" max="4" width="9.140625" style="105" bestFit="1" customWidth="1"/>
    <col min="5" max="9" width="9.5703125" style="105" bestFit="1" customWidth="1"/>
    <col min="10" max="10" width="11.140625" style="105" bestFit="1" customWidth="1"/>
    <col min="11" max="16384" width="9.140625" style="105"/>
  </cols>
  <sheetData>
    <row r="1" spans="1:10" x14ac:dyDescent="0.2">
      <c r="A1" s="108"/>
      <c r="B1" s="108"/>
    </row>
    <row r="2" spans="1:10" x14ac:dyDescent="0.2">
      <c r="B2" s="108"/>
      <c r="C2" s="108"/>
      <c r="D2" s="108"/>
      <c r="E2" s="108"/>
      <c r="F2" s="108"/>
      <c r="G2" s="108"/>
      <c r="H2" s="108"/>
      <c r="I2" s="108"/>
      <c r="J2" s="544" t="s">
        <v>1833</v>
      </c>
    </row>
    <row r="3" spans="1:10" x14ac:dyDescent="0.2">
      <c r="A3" s="218"/>
      <c r="B3" s="218"/>
      <c r="C3" s="218"/>
      <c r="D3" s="218"/>
      <c r="E3" s="218"/>
      <c r="F3" s="218"/>
      <c r="G3" s="218"/>
      <c r="H3" s="218"/>
      <c r="I3" s="218"/>
      <c r="J3" s="218"/>
    </row>
    <row r="4" spans="1:10" x14ac:dyDescent="0.2">
      <c r="A4" s="108"/>
      <c r="B4" s="108"/>
    </row>
    <row r="5" spans="1:10" x14ac:dyDescent="0.2">
      <c r="A5" s="677" t="s">
        <v>196</v>
      </c>
      <c r="B5" s="677"/>
      <c r="C5" s="677"/>
      <c r="D5" s="677"/>
      <c r="E5" s="677"/>
      <c r="F5" s="677"/>
      <c r="G5" s="677"/>
      <c r="H5" s="677"/>
      <c r="I5" s="677"/>
    </row>
    <row r="6" spans="1:10" x14ac:dyDescent="0.2">
      <c r="A6" s="677" t="s">
        <v>195</v>
      </c>
      <c r="B6" s="677"/>
      <c r="C6" s="677"/>
      <c r="D6" s="677"/>
      <c r="E6" s="677"/>
      <c r="F6" s="677"/>
      <c r="G6" s="677"/>
      <c r="H6" s="677"/>
      <c r="I6" s="677"/>
    </row>
    <row r="7" spans="1:10" x14ac:dyDescent="0.2">
      <c r="A7" s="217"/>
      <c r="B7" s="217"/>
      <c r="C7" s="217"/>
      <c r="D7" s="217"/>
      <c r="E7" s="217"/>
      <c r="F7" s="217"/>
      <c r="G7" s="217"/>
      <c r="H7" s="217"/>
      <c r="I7" s="217"/>
      <c r="J7" s="217"/>
    </row>
    <row r="8" spans="1:10" x14ac:dyDescent="0.2">
      <c r="A8" s="217"/>
      <c r="B8" s="217"/>
      <c r="C8" s="217"/>
      <c r="D8" s="217"/>
      <c r="E8" s="217"/>
      <c r="F8" s="217"/>
      <c r="G8" s="217"/>
      <c r="H8" s="217"/>
      <c r="I8" s="217"/>
      <c r="J8" s="217"/>
    </row>
    <row r="9" spans="1:10" x14ac:dyDescent="0.2">
      <c r="A9" s="156" t="s">
        <v>135</v>
      </c>
      <c r="B9" s="156"/>
      <c r="C9" s="156"/>
      <c r="D9" s="156"/>
      <c r="E9" s="156"/>
      <c r="F9" s="156"/>
      <c r="G9" s="156"/>
      <c r="H9" s="156"/>
      <c r="I9" s="156"/>
      <c r="J9" s="156" t="s">
        <v>48</v>
      </c>
    </row>
    <row r="10" spans="1:10" ht="13.15" customHeight="1" x14ac:dyDescent="0.2">
      <c r="A10" s="835" t="s">
        <v>50</v>
      </c>
      <c r="B10" s="692" t="s">
        <v>194</v>
      </c>
      <c r="C10" s="693"/>
      <c r="D10" s="693"/>
      <c r="E10" s="693"/>
      <c r="F10" s="693"/>
      <c r="G10" s="693"/>
      <c r="H10" s="693"/>
      <c r="I10" s="833"/>
      <c r="J10" s="834"/>
    </row>
    <row r="11" spans="1:10" ht="27.6" customHeight="1" x14ac:dyDescent="0.2">
      <c r="A11" s="836"/>
      <c r="B11" s="692" t="s">
        <v>185</v>
      </c>
      <c r="C11" s="693"/>
      <c r="D11" s="694"/>
      <c r="E11" s="692" t="s">
        <v>193</v>
      </c>
      <c r="F11" s="693"/>
      <c r="G11" s="694"/>
      <c r="H11" s="692" t="s">
        <v>17</v>
      </c>
      <c r="I11" s="693"/>
      <c r="J11" s="694"/>
    </row>
    <row r="12" spans="1:10" ht="39.75" customHeight="1" x14ac:dyDescent="0.2">
      <c r="A12" s="837"/>
      <c r="B12" s="157" t="s">
        <v>557</v>
      </c>
      <c r="C12" s="157" t="s">
        <v>1304</v>
      </c>
      <c r="D12" s="157" t="s">
        <v>1311</v>
      </c>
      <c r="E12" s="157" t="s">
        <v>557</v>
      </c>
      <c r="F12" s="157" t="s">
        <v>1304</v>
      </c>
      <c r="G12" s="157" t="s">
        <v>1311</v>
      </c>
      <c r="H12" s="157" t="s">
        <v>557</v>
      </c>
      <c r="I12" s="157" t="s">
        <v>1304</v>
      </c>
      <c r="J12" s="157" t="s">
        <v>1311</v>
      </c>
    </row>
    <row r="13" spans="1:10" ht="33.75" x14ac:dyDescent="0.2">
      <c r="A13" s="15" t="s">
        <v>445</v>
      </c>
      <c r="B13" s="158">
        <v>63430</v>
      </c>
      <c r="C13" s="158"/>
      <c r="D13" s="158"/>
      <c r="E13" s="159"/>
      <c r="F13" s="159"/>
      <c r="G13" s="159"/>
      <c r="H13" s="158">
        <f>+B13+E13</f>
        <v>63430</v>
      </c>
      <c r="I13" s="158">
        <f t="shared" ref="I13:J20" si="0">+C13+F13</f>
        <v>0</v>
      </c>
      <c r="J13" s="158">
        <f t="shared" si="0"/>
        <v>0</v>
      </c>
    </row>
    <row r="14" spans="1:10" ht="33.75" x14ac:dyDescent="0.2">
      <c r="A14" s="15" t="s">
        <v>447</v>
      </c>
      <c r="B14" s="158">
        <v>5000</v>
      </c>
      <c r="C14" s="158"/>
      <c r="D14" s="159"/>
      <c r="E14" s="159"/>
      <c r="F14" s="159"/>
      <c r="G14" s="159"/>
      <c r="H14" s="158">
        <f t="shared" ref="H14:H19" si="1">+B14+E14</f>
        <v>5000</v>
      </c>
      <c r="I14" s="158">
        <f t="shared" si="0"/>
        <v>0</v>
      </c>
      <c r="J14" s="158">
        <f t="shared" si="0"/>
        <v>0</v>
      </c>
    </row>
    <row r="15" spans="1:10" ht="22.5" x14ac:dyDescent="0.2">
      <c r="A15" s="15" t="s">
        <v>446</v>
      </c>
      <c r="B15" s="158">
        <v>5000</v>
      </c>
      <c r="C15" s="158">
        <v>5000</v>
      </c>
      <c r="D15" s="158">
        <v>5000</v>
      </c>
      <c r="E15" s="159"/>
      <c r="F15" s="159"/>
      <c r="G15" s="159"/>
      <c r="H15" s="158">
        <f t="shared" si="1"/>
        <v>5000</v>
      </c>
      <c r="I15" s="158">
        <f t="shared" si="0"/>
        <v>5000</v>
      </c>
      <c r="J15" s="158">
        <f t="shared" si="0"/>
        <v>5000</v>
      </c>
    </row>
    <row r="16" spans="1:10" ht="33.75" x14ac:dyDescent="0.2">
      <c r="A16" s="15" t="s">
        <v>1303</v>
      </c>
      <c r="B16" s="158"/>
      <c r="C16" s="158">
        <v>3400</v>
      </c>
      <c r="D16" s="158">
        <v>3400</v>
      </c>
      <c r="E16" s="159"/>
      <c r="F16" s="159"/>
      <c r="G16" s="159"/>
      <c r="H16" s="158">
        <f t="shared" si="1"/>
        <v>0</v>
      </c>
      <c r="I16" s="158">
        <f t="shared" si="0"/>
        <v>3400</v>
      </c>
      <c r="J16" s="158">
        <f t="shared" si="0"/>
        <v>3400</v>
      </c>
    </row>
    <row r="17" spans="1:10" x14ac:dyDescent="0.2">
      <c r="A17" s="15" t="s">
        <v>1124</v>
      </c>
      <c r="B17" s="158"/>
      <c r="C17" s="158">
        <v>9493</v>
      </c>
      <c r="D17" s="158">
        <v>9493</v>
      </c>
      <c r="E17" s="159"/>
      <c r="F17" s="159"/>
      <c r="G17" s="159"/>
      <c r="H17" s="158">
        <f t="shared" si="1"/>
        <v>0</v>
      </c>
      <c r="I17" s="158">
        <f t="shared" si="0"/>
        <v>9493</v>
      </c>
      <c r="J17" s="158">
        <f t="shared" si="0"/>
        <v>9493</v>
      </c>
    </row>
    <row r="18" spans="1:10" x14ac:dyDescent="0.2">
      <c r="A18" s="15" t="s">
        <v>1125</v>
      </c>
      <c r="B18" s="158"/>
      <c r="C18" s="158">
        <v>3000</v>
      </c>
      <c r="D18" s="158">
        <v>3000</v>
      </c>
      <c r="E18" s="159"/>
      <c r="F18" s="159"/>
      <c r="G18" s="159"/>
      <c r="H18" s="158">
        <f t="shared" si="1"/>
        <v>0</v>
      </c>
      <c r="I18" s="158">
        <f t="shared" si="0"/>
        <v>3000</v>
      </c>
      <c r="J18" s="158">
        <f t="shared" si="0"/>
        <v>3000</v>
      </c>
    </row>
    <row r="19" spans="1:10" ht="22.5" x14ac:dyDescent="0.2">
      <c r="A19" s="15" t="s">
        <v>1126</v>
      </c>
      <c r="B19" s="158"/>
      <c r="C19" s="158"/>
      <c r="D19" s="158"/>
      <c r="E19" s="159"/>
      <c r="F19" s="159"/>
      <c r="G19" s="159"/>
      <c r="H19" s="158">
        <f t="shared" si="1"/>
        <v>0</v>
      </c>
      <c r="I19" s="158">
        <f t="shared" si="0"/>
        <v>0</v>
      </c>
      <c r="J19" s="158">
        <f t="shared" si="0"/>
        <v>0</v>
      </c>
    </row>
    <row r="20" spans="1:10" x14ac:dyDescent="0.2">
      <c r="A20" s="15" t="s">
        <v>1332</v>
      </c>
      <c r="B20" s="158"/>
      <c r="C20" s="158">
        <v>150</v>
      </c>
      <c r="D20" s="158">
        <v>150</v>
      </c>
      <c r="E20" s="159"/>
      <c r="F20" s="159"/>
      <c r="G20" s="159"/>
      <c r="H20" s="158"/>
      <c r="I20" s="158">
        <f t="shared" si="0"/>
        <v>150</v>
      </c>
      <c r="J20" s="158">
        <f t="shared" si="0"/>
        <v>150</v>
      </c>
    </row>
    <row r="21" spans="1:10" ht="22.5" x14ac:dyDescent="0.2">
      <c r="A21" s="15" t="s">
        <v>450</v>
      </c>
      <c r="B21" s="29"/>
      <c r="C21" s="159"/>
      <c r="D21" s="159"/>
      <c r="E21" s="158">
        <v>3838</v>
      </c>
      <c r="F21" s="158">
        <v>3838</v>
      </c>
      <c r="G21" s="158">
        <v>3838</v>
      </c>
      <c r="H21" s="222">
        <f t="shared" ref="H21:J21" si="2">+B21+E21</f>
        <v>3838</v>
      </c>
      <c r="I21" s="222">
        <f t="shared" si="2"/>
        <v>3838</v>
      </c>
      <c r="J21" s="222">
        <f t="shared" si="2"/>
        <v>3838</v>
      </c>
    </row>
    <row r="22" spans="1:10" ht="18" customHeight="1" x14ac:dyDescent="0.2">
      <c r="A22" s="160" t="s">
        <v>192</v>
      </c>
      <c r="B22" s="161">
        <f>SUM(B13:B21)</f>
        <v>73430</v>
      </c>
      <c r="C22" s="161">
        <f t="shared" ref="C22:D22" si="3">SUM(C13:C21)</f>
        <v>21043</v>
      </c>
      <c r="D22" s="161">
        <f t="shared" si="3"/>
        <v>21043</v>
      </c>
      <c r="E22" s="161">
        <f>SUM(E13:E21)</f>
        <v>3838</v>
      </c>
      <c r="F22" s="161">
        <f t="shared" ref="F22:G22" si="4">SUM(F13:F21)</f>
        <v>3838</v>
      </c>
      <c r="G22" s="161">
        <f t="shared" si="4"/>
        <v>3838</v>
      </c>
      <c r="H22" s="161">
        <f>SUM(H13:H21)</f>
        <v>77268</v>
      </c>
      <c r="I22" s="161">
        <f t="shared" ref="I22:J22" si="5">SUM(I13:I21)</f>
        <v>24881</v>
      </c>
      <c r="J22" s="161">
        <f t="shared" si="5"/>
        <v>24881</v>
      </c>
    </row>
  </sheetData>
  <mergeCells count="7">
    <mergeCell ref="A6:I6"/>
    <mergeCell ref="A5:I5"/>
    <mergeCell ref="B11:D11"/>
    <mergeCell ref="E11:G11"/>
    <mergeCell ref="H11:J11"/>
    <mergeCell ref="B10:J10"/>
    <mergeCell ref="A10:A12"/>
  </mergeCells>
  <printOptions horizontalCentered="1"/>
  <pageMargins left="0.43307086614173229" right="0.15748031496062992" top="0.35433070866141736" bottom="0.31496062992125984" header="0.27559055118110237" footer="0.19685039370078741"/>
  <pageSetup paperSize="9" orientation="landscape" r:id="rId1"/>
  <headerFooter alignWithMargins="0">
    <oddHeader>&amp;LVeresegyház Város Önkormányzat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30</vt:i4>
      </vt:variant>
      <vt:variant>
        <vt:lpstr>Névvel ellátott tartományok</vt:lpstr>
      </vt:variant>
      <vt:variant>
        <vt:i4>10</vt:i4>
      </vt:variant>
    </vt:vector>
  </HeadingPairs>
  <TitlesOfParts>
    <vt:vector size="40" baseType="lpstr">
      <vt:lpstr>10.1.-10.9.</vt:lpstr>
      <vt:lpstr>10.10.-10.12. </vt:lpstr>
      <vt:lpstr>10.13.-10.18. </vt:lpstr>
      <vt:lpstr>11.1.-11.9. mell.</vt:lpstr>
      <vt:lpstr>12.1 -12.2 melléklet önk.,ph</vt:lpstr>
      <vt:lpstr>12.3 -12.4.mell.</vt:lpstr>
      <vt:lpstr>13.1 melléklet önk</vt:lpstr>
      <vt:lpstr>13.2-3. melléklet intézmény</vt:lpstr>
      <vt:lpstr>14. mell.</vt:lpstr>
      <vt:lpstr>15. melléklet</vt:lpstr>
      <vt:lpstr>16-17. mell.</vt:lpstr>
      <vt:lpstr>18. mell. </vt:lpstr>
      <vt:lpstr>19. mell.</vt:lpstr>
      <vt:lpstr>19.1.</vt:lpstr>
      <vt:lpstr>19.2.</vt:lpstr>
      <vt:lpstr>19.3</vt:lpstr>
      <vt:lpstr>19. 4.</vt:lpstr>
      <vt:lpstr>19.5.</vt:lpstr>
      <vt:lpstr>19. 6.</vt:lpstr>
      <vt:lpstr>19.7.</vt:lpstr>
      <vt:lpstr>19. 8.</vt:lpstr>
      <vt:lpstr>20. mell.</vt:lpstr>
      <vt:lpstr>21. mell. </vt:lpstr>
      <vt:lpstr>22.-24. mell. </vt:lpstr>
      <vt:lpstr>25. mell.</vt:lpstr>
      <vt:lpstr>26. mell. </vt:lpstr>
      <vt:lpstr>27. mell.</vt:lpstr>
      <vt:lpstr>28. mell.</vt:lpstr>
      <vt:lpstr>29 mell. </vt:lpstr>
      <vt:lpstr>30. mell.</vt:lpstr>
      <vt:lpstr>'12.1 -12.2 melléklet önk.,ph'!Nyomtatási_cím</vt:lpstr>
      <vt:lpstr>'13.1 melléklet önk'!Nyomtatási_cím</vt:lpstr>
      <vt:lpstr>'29 mell. '!Nyomtatási_cím</vt:lpstr>
      <vt:lpstr>'30. mell.'!Nyomtatási_cím</vt:lpstr>
      <vt:lpstr>'10.1.-10.9.'!Nyomtatási_terület</vt:lpstr>
      <vt:lpstr>'12.1 -12.2 melléklet önk.,ph'!Nyomtatási_terület</vt:lpstr>
      <vt:lpstr>'12.3 -12.4.mell.'!Nyomtatási_terület</vt:lpstr>
      <vt:lpstr>'13.1 melléklet önk'!Nyomtatási_terület</vt:lpstr>
      <vt:lpstr>'13.2-3. melléklet intézmény'!Nyomtatási_terület</vt:lpstr>
      <vt:lpstr>'26.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Tibor</dc:creator>
  <cp:lastModifiedBy>Jáger Ágnes</cp:lastModifiedBy>
  <cp:lastPrinted>2015-06-12T10:07:50Z</cp:lastPrinted>
  <dcterms:created xsi:type="dcterms:W3CDTF">2001-01-11T08:42:07Z</dcterms:created>
  <dcterms:modified xsi:type="dcterms:W3CDTF">2015-11-24T09:40:57Z</dcterms:modified>
</cp:coreProperties>
</file>